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-15" yWindow="-15" windowWidth="9570" windowHeight="11430" tabRatio="615" activeTab="2"/>
  </bookViews>
  <sheets>
    <sheet name="detail bilan HT" sheetId="1" r:id="rId1"/>
    <sheet name="bilan HT" sheetId="2" r:id="rId2"/>
    <sheet name="échéancier HT" sheetId="3" r:id="rId3"/>
    <sheet name="trésorerie HT" sheetId="4" r:id="rId4"/>
    <sheet name="données" sheetId="5" r:id="rId5"/>
    <sheet name="bilan HT (2)" sheetId="6" r:id="rId6"/>
  </sheets>
  <definedNames>
    <definedName name="_tva1">'detail bilan HT'!$C$150</definedName>
    <definedName name="_tva2">'detail bilan HT'!$C$159</definedName>
    <definedName name="_tva3">'detail bilan HT'!$C$168</definedName>
    <definedName name="_tva4">'detail bilan HT'!$C$177</definedName>
    <definedName name="_tva5">'detail bilan HT'!$C$186</definedName>
    <definedName name="_xlnm.Criteria" localSheetId="1">'bilan HT'!#REF!</definedName>
    <definedName name="_xlnm.Criteria" localSheetId="5">'bilan HT (2)'!#REF!</definedName>
    <definedName name="_xlnm.Criteria" localSheetId="2">'échéancier HT'!#REF!</definedName>
    <definedName name="_xlnm.Criteria" localSheetId="3">'trésorerie HT'!#REF!</definedName>
    <definedName name="dateCRAC">données!$F$3</definedName>
    <definedName name="datedépart">données!$E$29</definedName>
    <definedName name="dateE1">données!$D$10</definedName>
    <definedName name="dateE2">données!$D$11</definedName>
    <definedName name="dateE3">données!$D$12</definedName>
    <definedName name="dateE4">données!$D$13</definedName>
    <definedName name="dateE5">données!$D$14</definedName>
    <definedName name="dateE6">données!$D$15</definedName>
    <definedName name="dateE7">données!$D$16</definedName>
    <definedName name="dateE8">données!$D$17</definedName>
    <definedName name="datefin">données!$E$22</definedName>
    <definedName name="DifféréE1">données!$I$10</definedName>
    <definedName name="DifféréE2">données!$I$11</definedName>
    <definedName name="DifféréE3">données!$I$12</definedName>
    <definedName name="DifféréE4">données!$I$13</definedName>
    <definedName name="DifféréE5">données!$I$14</definedName>
    <definedName name="DifféréE6">données!$I$15</definedName>
    <definedName name="DifféréE7">données!$I$16</definedName>
    <definedName name="DifféréE8">données!$I$17</definedName>
    <definedName name="DuréeE1">données!$H$10</definedName>
    <definedName name="duréeE2">données!$H$11</definedName>
    <definedName name="DuréeE3">données!$H$12</definedName>
    <definedName name="DuréeE4">données!$H$13</definedName>
    <definedName name="DuréeE5">données!$H$14</definedName>
    <definedName name="DuréeE6">données!$H$15</definedName>
    <definedName name="DuréeE7">données!$H$16</definedName>
    <definedName name="duréeE8">données!$H$17</definedName>
    <definedName name="H">données!$D$32</definedName>
    <definedName name="montantE1">données!$E$10</definedName>
    <definedName name="montantE2">données!$E$11</definedName>
    <definedName name="montantE3">données!$E$12</definedName>
    <definedName name="montantE4">données!$E$13</definedName>
    <definedName name="montantE5">données!$E$14</definedName>
    <definedName name="montantE6">données!$E$15</definedName>
    <definedName name="montantE7">données!$E$16</definedName>
    <definedName name="montantE8">données!$E$17</definedName>
    <definedName name="prixA">données!$E$27</definedName>
    <definedName name="Surfaceop">données!$E$26</definedName>
    <definedName name="T">données!$D$31</definedName>
    <definedName name="taux">'detail bilan HT'!$C$112</definedName>
    <definedName name="taux_révisé1">données!$G$10</definedName>
    <definedName name="taux_révisé2">données!$G$11</definedName>
    <definedName name="taux_révisé3">données!$G$12</definedName>
    <definedName name="taux_révisé4">données!$G$13</definedName>
    <definedName name="taux_révisé5">données!$G$14</definedName>
    <definedName name="taux_révisé6">données!$G$15</definedName>
    <definedName name="taux_révisé7">données!$G$16</definedName>
    <definedName name="taux_révisé8">données!$G$17</definedName>
    <definedName name="taux_réviséE7">données!$G$16</definedName>
    <definedName name="tauxE1">données!$F$10</definedName>
    <definedName name="tauxE2">données!$F$11</definedName>
    <definedName name="tauxE3">données!$F$12</definedName>
    <definedName name="tauxE4">données!$F$13</definedName>
    <definedName name="tauxE5">données!$F$14</definedName>
    <definedName name="tauxE6">données!$F$15</definedName>
    <definedName name="tauxE7">données!$F$16</definedName>
    <definedName name="tauxE8">données!$F$17</definedName>
    <definedName name="tva">données!$D$7</definedName>
    <definedName name="typetva1">'detail bilan HT'!$D$150</definedName>
    <definedName name="typetva2">'detail bilan HT'!$D$159</definedName>
    <definedName name="typetva3">'detail bilan HT'!$D$168</definedName>
    <definedName name="typetva4">'detail bilan HT'!$D$177</definedName>
    <definedName name="typetva5">'detail bilan HT'!$D$186</definedName>
    <definedName name="valeur">données!$E$20</definedName>
    <definedName name="valeurfin">données!$E$23</definedName>
    <definedName name="_xlnm.Print_Area" localSheetId="1">'bilan HT'!$A$1:$H$67</definedName>
    <definedName name="_xlnm.Print_Area" localSheetId="5">'bilan HT (2)'!$A$1:$G$67</definedName>
    <definedName name="_xlnm.Print_Area" localSheetId="2">'échéancier HT'!$A$1:$K$67</definedName>
  </definedNames>
  <calcPr calcId="145621" fullPrecision="0"/>
</workbook>
</file>

<file path=xl/calcChain.xml><?xml version="1.0" encoding="utf-8"?>
<calcChain xmlns="http://schemas.openxmlformats.org/spreadsheetml/2006/main">
  <c r="O155" i="1" l="1"/>
  <c r="N155" i="1"/>
  <c r="M155" i="1"/>
  <c r="L155" i="1"/>
  <c r="K155" i="1"/>
  <c r="J155" i="1"/>
  <c r="I155" i="1"/>
  <c r="H155" i="1"/>
  <c r="G155" i="1"/>
  <c r="G157" i="1" l="1"/>
  <c r="H157" i="1"/>
  <c r="I157" i="1"/>
  <c r="J157" i="1"/>
  <c r="K157" i="1"/>
  <c r="L157" i="1"/>
  <c r="M157" i="1"/>
  <c r="N157" i="1"/>
  <c r="O157" i="1"/>
  <c r="A32" i="6" l="1"/>
  <c r="A28" i="6"/>
  <c r="B26" i="6"/>
  <c r="B25" i="6"/>
  <c r="A24" i="6"/>
  <c r="A14" i="6"/>
  <c r="A10" i="6"/>
  <c r="B8" i="6"/>
  <c r="B7" i="6"/>
  <c r="A6" i="6"/>
  <c r="A2" i="6"/>
  <c r="D65" i="6"/>
  <c r="D59" i="6"/>
  <c r="D54" i="6"/>
  <c r="D44" i="6"/>
  <c r="E26" i="6"/>
  <c r="D5" i="6"/>
  <c r="A1" i="6"/>
  <c r="G17" i="5"/>
  <c r="G16" i="5"/>
  <c r="G14" i="5"/>
  <c r="G11" i="5"/>
  <c r="G12" i="5"/>
  <c r="G13" i="5"/>
  <c r="G15" i="5"/>
  <c r="B284" i="1"/>
  <c r="B283" i="1"/>
  <c r="E261" i="1"/>
  <c r="D261" i="1"/>
  <c r="B260" i="1"/>
  <c r="B259" i="1"/>
  <c r="E111" i="1"/>
  <c r="D111" i="1"/>
  <c r="E25" i="6"/>
  <c r="B110" i="1"/>
  <c r="B109" i="1"/>
  <c r="V192" i="1"/>
  <c r="V183" i="1"/>
  <c r="V174" i="1"/>
  <c r="V165" i="1"/>
  <c r="V156" i="1"/>
  <c r="E37" i="1"/>
  <c r="E46" i="1"/>
  <c r="E53" i="1"/>
  <c r="E60" i="1"/>
  <c r="E67" i="1"/>
  <c r="E74" i="1"/>
  <c r="A75" i="1"/>
  <c r="E85" i="1"/>
  <c r="E92" i="1"/>
  <c r="E99" i="1"/>
  <c r="E119" i="1"/>
  <c r="F37" i="1"/>
  <c r="F38" i="1" s="1"/>
  <c r="F46" i="1"/>
  <c r="F53" i="1"/>
  <c r="F60" i="1"/>
  <c r="F67" i="1"/>
  <c r="F74" i="1"/>
  <c r="F85" i="1"/>
  <c r="F92" i="1"/>
  <c r="F100" i="1" s="1"/>
  <c r="F99" i="1"/>
  <c r="E6" i="1"/>
  <c r="G10" i="5"/>
  <c r="D167" i="1"/>
  <c r="D176" i="1"/>
  <c r="D194" i="1"/>
  <c r="D158" i="1"/>
  <c r="D185" i="1"/>
  <c r="E167" i="1"/>
  <c r="E176" i="1"/>
  <c r="E194" i="1"/>
  <c r="E158" i="1"/>
  <c r="E185" i="1"/>
  <c r="F167" i="1"/>
  <c r="F176" i="1"/>
  <c r="F194" i="1"/>
  <c r="F158" i="1"/>
  <c r="F129" i="1" s="1"/>
  <c r="F185" i="1"/>
  <c r="V152" i="1"/>
  <c r="H170" i="1"/>
  <c r="H176" i="1"/>
  <c r="H167" i="1"/>
  <c r="H194" i="1"/>
  <c r="H185" i="1"/>
  <c r="H37" i="1"/>
  <c r="H46" i="1"/>
  <c r="H53" i="1"/>
  <c r="H60" i="1"/>
  <c r="H67" i="1"/>
  <c r="H74" i="1"/>
  <c r="H85" i="1"/>
  <c r="H92" i="1"/>
  <c r="H99" i="1"/>
  <c r="I153" i="1"/>
  <c r="I158" i="1"/>
  <c r="I130" i="1" s="1"/>
  <c r="I167" i="1"/>
  <c r="I176" i="1"/>
  <c r="I194" i="1"/>
  <c r="I185" i="1"/>
  <c r="I37" i="1"/>
  <c r="I46" i="1"/>
  <c r="I53" i="1"/>
  <c r="I60" i="1"/>
  <c r="I67" i="1"/>
  <c r="I74" i="1"/>
  <c r="I85" i="1"/>
  <c r="I92" i="1"/>
  <c r="I99" i="1"/>
  <c r="J37" i="1"/>
  <c r="J46" i="1"/>
  <c r="J53" i="1"/>
  <c r="J60" i="1"/>
  <c r="J67" i="1"/>
  <c r="J74" i="1"/>
  <c r="J85" i="1"/>
  <c r="J92" i="1"/>
  <c r="J99" i="1"/>
  <c r="J167" i="1"/>
  <c r="J176" i="1"/>
  <c r="J194" i="1"/>
  <c r="J158" i="1"/>
  <c r="J130" i="1" s="1"/>
  <c r="J132" i="1" s="1"/>
  <c r="J185" i="1"/>
  <c r="K37" i="1"/>
  <c r="K46" i="1"/>
  <c r="K53" i="1"/>
  <c r="K60" i="1"/>
  <c r="K67" i="1"/>
  <c r="K74" i="1"/>
  <c r="K85" i="1"/>
  <c r="K92" i="1"/>
  <c r="K99" i="1"/>
  <c r="K167" i="1"/>
  <c r="K176" i="1"/>
  <c r="K194" i="1"/>
  <c r="K158" i="1"/>
  <c r="K129" i="1" s="1"/>
  <c r="K185" i="1"/>
  <c r="L158" i="1"/>
  <c r="L171" i="1"/>
  <c r="L176" i="1"/>
  <c r="L167" i="1"/>
  <c r="L194" i="1"/>
  <c r="L185" i="1"/>
  <c r="L37" i="1"/>
  <c r="L46" i="1"/>
  <c r="L53" i="1"/>
  <c r="L60" i="1"/>
  <c r="L67" i="1"/>
  <c r="L74" i="1"/>
  <c r="L85" i="1"/>
  <c r="L92" i="1"/>
  <c r="L99" i="1"/>
  <c r="M154" i="1"/>
  <c r="M158" i="1"/>
  <c r="M167" i="1"/>
  <c r="M176" i="1"/>
  <c r="M194" i="1"/>
  <c r="M185" i="1"/>
  <c r="M37" i="1"/>
  <c r="M46" i="1"/>
  <c r="M53" i="1"/>
  <c r="M60" i="1"/>
  <c r="M67" i="1"/>
  <c r="M74" i="1"/>
  <c r="M85" i="1"/>
  <c r="M92" i="1"/>
  <c r="M99" i="1"/>
  <c r="N154" i="1"/>
  <c r="N158" i="1" s="1"/>
  <c r="N167" i="1"/>
  <c r="N176" i="1"/>
  <c r="N194" i="1"/>
  <c r="N185" i="1"/>
  <c r="N37" i="1"/>
  <c r="N46" i="1"/>
  <c r="N53" i="1"/>
  <c r="N60" i="1"/>
  <c r="N67" i="1"/>
  <c r="N74" i="1"/>
  <c r="N85" i="1"/>
  <c r="N92" i="1"/>
  <c r="N99" i="1"/>
  <c r="O37" i="1"/>
  <c r="O46" i="1"/>
  <c r="O53" i="1"/>
  <c r="O60" i="1"/>
  <c r="O67" i="1"/>
  <c r="O74" i="1"/>
  <c r="O85" i="1"/>
  <c r="O92" i="1"/>
  <c r="O99" i="1"/>
  <c r="O167" i="1"/>
  <c r="O176" i="1"/>
  <c r="O194" i="1"/>
  <c r="O158" i="1"/>
  <c r="O185" i="1"/>
  <c r="P37" i="1"/>
  <c r="P46" i="1"/>
  <c r="P53" i="1"/>
  <c r="P60" i="1"/>
  <c r="P67" i="1"/>
  <c r="P74" i="1"/>
  <c r="P85" i="1"/>
  <c r="P92" i="1"/>
  <c r="P99" i="1"/>
  <c r="P167" i="1"/>
  <c r="P176" i="1"/>
  <c r="P194" i="1"/>
  <c r="P158" i="1"/>
  <c r="P185" i="1"/>
  <c r="Q37" i="1"/>
  <c r="Q46" i="1"/>
  <c r="Q53" i="1"/>
  <c r="Q60" i="1"/>
  <c r="Q67" i="1"/>
  <c r="Q74" i="1"/>
  <c r="Q85" i="1"/>
  <c r="Q92" i="1"/>
  <c r="Q99" i="1"/>
  <c r="Q167" i="1"/>
  <c r="Q176" i="1"/>
  <c r="Q194" i="1"/>
  <c r="Q158" i="1"/>
  <c r="Q185" i="1"/>
  <c r="R37" i="1"/>
  <c r="R46" i="1"/>
  <c r="R53" i="1"/>
  <c r="R60" i="1"/>
  <c r="R67" i="1"/>
  <c r="R74" i="1"/>
  <c r="R85" i="1"/>
  <c r="R92" i="1"/>
  <c r="R99" i="1"/>
  <c r="R167" i="1"/>
  <c r="R176" i="1"/>
  <c r="R194" i="1"/>
  <c r="R158" i="1"/>
  <c r="R185" i="1"/>
  <c r="S37" i="1"/>
  <c r="S46" i="1"/>
  <c r="S53" i="1"/>
  <c r="S60" i="1"/>
  <c r="S67" i="1"/>
  <c r="S74" i="1"/>
  <c r="S85" i="1"/>
  <c r="S92" i="1"/>
  <c r="S99" i="1"/>
  <c r="S167" i="1"/>
  <c r="S176" i="1"/>
  <c r="S194" i="1"/>
  <c r="S158" i="1"/>
  <c r="S185" i="1"/>
  <c r="T37" i="1"/>
  <c r="T46" i="1"/>
  <c r="T53" i="1"/>
  <c r="T60" i="1"/>
  <c r="T67" i="1"/>
  <c r="T74" i="1"/>
  <c r="T85" i="1"/>
  <c r="T92" i="1"/>
  <c r="T99" i="1"/>
  <c r="T167" i="1"/>
  <c r="T176" i="1"/>
  <c r="T194" i="1"/>
  <c r="T158" i="1"/>
  <c r="T185" i="1"/>
  <c r="G169" i="1"/>
  <c r="G176" i="1"/>
  <c r="G167" i="1"/>
  <c r="G194" i="1"/>
  <c r="G233" i="1"/>
  <c r="G158" i="1"/>
  <c r="G130" i="1" s="1"/>
  <c r="G185" i="1"/>
  <c r="G37" i="1"/>
  <c r="G46" i="1"/>
  <c r="G53" i="1"/>
  <c r="G60" i="1"/>
  <c r="G67" i="1"/>
  <c r="G74" i="1"/>
  <c r="G85" i="1"/>
  <c r="G92" i="1"/>
  <c r="G99" i="1"/>
  <c r="V157" i="1"/>
  <c r="V166" i="1"/>
  <c r="V175" i="1"/>
  <c r="V184" i="1"/>
  <c r="V193" i="1"/>
  <c r="D25" i="5"/>
  <c r="F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C123" i="1"/>
  <c r="A122" i="1"/>
  <c r="A121" i="1"/>
  <c r="A120" i="1"/>
  <c r="C115" i="1" s="1"/>
  <c r="A118" i="1"/>
  <c r="A132" i="1"/>
  <c r="A129" i="1"/>
  <c r="A117" i="1"/>
  <c r="C78" i="1"/>
  <c r="E195" i="1"/>
  <c r="E196" i="1"/>
  <c r="D236" i="1"/>
  <c r="E236" i="1"/>
  <c r="E241" i="1"/>
  <c r="E287" i="1"/>
  <c r="D195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D37" i="1"/>
  <c r="E12" i="6"/>
  <c r="D46" i="1"/>
  <c r="E15" i="6"/>
  <c r="D53" i="1"/>
  <c r="E16" i="6"/>
  <c r="D60" i="1"/>
  <c r="E17" i="6"/>
  <c r="D67" i="1"/>
  <c r="E18" i="6"/>
  <c r="D74" i="1"/>
  <c r="E19" i="2" s="1"/>
  <c r="E19" i="6"/>
  <c r="D85" i="1"/>
  <c r="E20" i="6"/>
  <c r="D92" i="1"/>
  <c r="E21" i="6" s="1"/>
  <c r="D99" i="1"/>
  <c r="E22" i="6"/>
  <c r="E100" i="1"/>
  <c r="D196" i="1"/>
  <c r="G100" i="1"/>
  <c r="H100" i="1"/>
  <c r="J100" i="1"/>
  <c r="K100" i="1"/>
  <c r="L100" i="1"/>
  <c r="M100" i="1"/>
  <c r="N100" i="1"/>
  <c r="O100" i="1"/>
  <c r="P100" i="1"/>
  <c r="Q100" i="1"/>
  <c r="R100" i="1"/>
  <c r="S100" i="1"/>
  <c r="T100" i="1"/>
  <c r="D205" i="1"/>
  <c r="E54" i="6"/>
  <c r="D210" i="1"/>
  <c r="D216" i="1"/>
  <c r="E205" i="1"/>
  <c r="E210" i="1"/>
  <c r="E216" i="1"/>
  <c r="F205" i="1"/>
  <c r="F210" i="1"/>
  <c r="F216" i="1"/>
  <c r="G205" i="1"/>
  <c r="G210" i="1"/>
  <c r="V210" i="1"/>
  <c r="G216" i="1"/>
  <c r="H205" i="1"/>
  <c r="H210" i="1"/>
  <c r="H216" i="1"/>
  <c r="I205" i="1"/>
  <c r="I210" i="1"/>
  <c r="I216" i="1"/>
  <c r="J205" i="1"/>
  <c r="J210" i="1"/>
  <c r="J216" i="1"/>
  <c r="K205" i="1"/>
  <c r="K210" i="1"/>
  <c r="K216" i="1"/>
  <c r="L205" i="1"/>
  <c r="L210" i="1"/>
  <c r="L216" i="1"/>
  <c r="M205" i="1"/>
  <c r="M210" i="1"/>
  <c r="M216" i="1"/>
  <c r="N205" i="1"/>
  <c r="N210" i="1"/>
  <c r="N216" i="1"/>
  <c r="O205" i="1"/>
  <c r="O210" i="1"/>
  <c r="O216" i="1"/>
  <c r="P205" i="1"/>
  <c r="P210" i="1"/>
  <c r="P216" i="1"/>
  <c r="Q205" i="1"/>
  <c r="Q210" i="1"/>
  <c r="Q216" i="1"/>
  <c r="R205" i="1"/>
  <c r="R210" i="1"/>
  <c r="R216" i="1"/>
  <c r="S205" i="1"/>
  <c r="S210" i="1"/>
  <c r="S216" i="1"/>
  <c r="T205" i="1"/>
  <c r="T210" i="1"/>
  <c r="T216" i="1"/>
  <c r="V116" i="1"/>
  <c r="F117" i="1"/>
  <c r="V117" i="1" s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V125" i="1"/>
  <c r="V128" i="1"/>
  <c r="O129" i="1"/>
  <c r="P129" i="1"/>
  <c r="Q129" i="1"/>
  <c r="R129" i="1"/>
  <c r="S129" i="1"/>
  <c r="T129" i="1"/>
  <c r="V133" i="1"/>
  <c r="V213" i="1"/>
  <c r="B62" i="2"/>
  <c r="B62" i="6"/>
  <c r="F62" i="6"/>
  <c r="V214" i="1"/>
  <c r="B63" i="2"/>
  <c r="B63" i="6"/>
  <c r="F63" i="6"/>
  <c r="V215" i="1"/>
  <c r="D64" i="3"/>
  <c r="V212" i="1"/>
  <c r="V208" i="1"/>
  <c r="D57" i="3"/>
  <c r="V209" i="1"/>
  <c r="V207" i="1"/>
  <c r="B56" i="2"/>
  <c r="B56" i="6"/>
  <c r="F56" i="6"/>
  <c r="V160" i="1"/>
  <c r="V161" i="1"/>
  <c r="V162" i="1"/>
  <c r="V163" i="1"/>
  <c r="V164" i="1"/>
  <c r="V170" i="1"/>
  <c r="V169" i="1"/>
  <c r="V171" i="1"/>
  <c r="V172" i="1"/>
  <c r="V173" i="1"/>
  <c r="V178" i="1"/>
  <c r="V179" i="1"/>
  <c r="V180" i="1"/>
  <c r="V181" i="1"/>
  <c r="V182" i="1"/>
  <c r="V187" i="1"/>
  <c r="V188" i="1"/>
  <c r="V189" i="1"/>
  <c r="V190" i="1"/>
  <c r="V191" i="1"/>
  <c r="V151" i="1"/>
  <c r="V155" i="1"/>
  <c r="V138" i="1"/>
  <c r="E34" i="6"/>
  <c r="E34" i="2"/>
  <c r="F34" i="2"/>
  <c r="V139" i="1"/>
  <c r="E35" i="2"/>
  <c r="V141" i="1"/>
  <c r="V137" i="1"/>
  <c r="B33" i="2" s="1"/>
  <c r="B34" i="2"/>
  <c r="B34" i="6"/>
  <c r="B34" i="3"/>
  <c r="D34" i="3"/>
  <c r="D241" i="1"/>
  <c r="D263" i="1"/>
  <c r="C10" i="4" s="1"/>
  <c r="F275" i="1"/>
  <c r="E142" i="1"/>
  <c r="E12" i="1"/>
  <c r="E18" i="1"/>
  <c r="F12" i="1"/>
  <c r="F18" i="1" s="1"/>
  <c r="E28" i="1"/>
  <c r="E38" i="1"/>
  <c r="F28" i="1"/>
  <c r="E134" i="1"/>
  <c r="E127" i="1"/>
  <c r="E251" i="1"/>
  <c r="F251" i="1"/>
  <c r="E275" i="1"/>
  <c r="E114" i="1"/>
  <c r="D275" i="1"/>
  <c r="C19" i="4"/>
  <c r="D142" i="1"/>
  <c r="D134" i="1"/>
  <c r="E30" i="6"/>
  <c r="D127" i="1"/>
  <c r="D28" i="1"/>
  <c r="E11" i="6" s="1"/>
  <c r="D12" i="1"/>
  <c r="E7" i="6" s="1"/>
  <c r="D17" i="1"/>
  <c r="D18" i="1" s="1"/>
  <c r="D251" i="1"/>
  <c r="C8" i="4"/>
  <c r="G275" i="1"/>
  <c r="G12" i="1"/>
  <c r="G18" i="1"/>
  <c r="G28" i="1"/>
  <c r="G38" i="1"/>
  <c r="G251" i="1"/>
  <c r="H275" i="1"/>
  <c r="H12" i="1"/>
  <c r="H18" i="1"/>
  <c r="H28" i="1"/>
  <c r="H38" i="1"/>
  <c r="H251" i="1"/>
  <c r="I275" i="1"/>
  <c r="I12" i="1"/>
  <c r="I18" i="1"/>
  <c r="I28" i="1"/>
  <c r="I38" i="1"/>
  <c r="I251" i="1"/>
  <c r="J275" i="1"/>
  <c r="J12" i="1"/>
  <c r="J18" i="1"/>
  <c r="J28" i="1"/>
  <c r="J38" i="1"/>
  <c r="J251" i="1"/>
  <c r="K275" i="1"/>
  <c r="K12" i="1"/>
  <c r="K18" i="1"/>
  <c r="K28" i="1"/>
  <c r="K38" i="1"/>
  <c r="K251" i="1"/>
  <c r="L275" i="1"/>
  <c r="L12" i="1"/>
  <c r="L18" i="1"/>
  <c r="L28" i="1"/>
  <c r="L38" i="1"/>
  <c r="L251" i="1"/>
  <c r="M275" i="1"/>
  <c r="M12" i="1"/>
  <c r="M18" i="1"/>
  <c r="M28" i="1"/>
  <c r="M38" i="1"/>
  <c r="M251" i="1"/>
  <c r="N275" i="1"/>
  <c r="N12" i="1"/>
  <c r="N18" i="1"/>
  <c r="N28" i="1"/>
  <c r="N38" i="1"/>
  <c r="N251" i="1"/>
  <c r="O275" i="1"/>
  <c r="O12" i="1"/>
  <c r="O18" i="1"/>
  <c r="O28" i="1"/>
  <c r="O38" i="1"/>
  <c r="O251" i="1"/>
  <c r="P275" i="1"/>
  <c r="P12" i="1"/>
  <c r="P18" i="1"/>
  <c r="P28" i="1"/>
  <c r="P38" i="1"/>
  <c r="P251" i="1"/>
  <c r="Q275" i="1"/>
  <c r="Q12" i="1"/>
  <c r="Q18" i="1"/>
  <c r="Q28" i="1"/>
  <c r="Q38" i="1"/>
  <c r="Q251" i="1"/>
  <c r="R275" i="1"/>
  <c r="R12" i="1"/>
  <c r="R18" i="1"/>
  <c r="R28" i="1"/>
  <c r="R38" i="1"/>
  <c r="R251" i="1"/>
  <c r="S275" i="1"/>
  <c r="S12" i="1"/>
  <c r="S18" i="1"/>
  <c r="S28" i="1"/>
  <c r="S38" i="1"/>
  <c r="S251" i="1"/>
  <c r="T275" i="1"/>
  <c r="T12" i="1"/>
  <c r="T18" i="1"/>
  <c r="T28" i="1"/>
  <c r="T38" i="1"/>
  <c r="T251" i="1"/>
  <c r="D126" i="1"/>
  <c r="E126" i="1"/>
  <c r="V57" i="1"/>
  <c r="V60" i="1" s="1"/>
  <c r="V58" i="1"/>
  <c r="V50" i="1"/>
  <c r="V51" i="1"/>
  <c r="V43" i="1"/>
  <c r="V44" i="1"/>
  <c r="B16" i="2"/>
  <c r="B16" i="6"/>
  <c r="B16" i="3"/>
  <c r="B30" i="2"/>
  <c r="B30" i="6"/>
  <c r="B30" i="3"/>
  <c r="B29" i="2"/>
  <c r="B29" i="6"/>
  <c r="B29" i="3"/>
  <c r="H9" i="2"/>
  <c r="H23" i="2"/>
  <c r="H40" i="2" s="1"/>
  <c r="H13" i="2"/>
  <c r="H27" i="2"/>
  <c r="H31" i="2"/>
  <c r="H38" i="2"/>
  <c r="H52" i="2"/>
  <c r="H67" i="2" s="1"/>
  <c r="A45" i="2"/>
  <c r="A45" i="6"/>
  <c r="D65" i="2"/>
  <c r="C65" i="3"/>
  <c r="D59" i="2"/>
  <c r="D54" i="2"/>
  <c r="B12" i="2"/>
  <c r="B12" i="6"/>
  <c r="B11" i="2"/>
  <c r="B11" i="6"/>
  <c r="H44" i="2"/>
  <c r="H65" i="2"/>
  <c r="A60" i="2"/>
  <c r="A60" i="6"/>
  <c r="H59" i="2"/>
  <c r="A1" i="2"/>
  <c r="B22" i="2"/>
  <c r="B22" i="6"/>
  <c r="B21" i="2"/>
  <c r="B21" i="6"/>
  <c r="B20" i="2"/>
  <c r="B20" i="6"/>
  <c r="B19" i="2"/>
  <c r="B19" i="6"/>
  <c r="B18" i="2"/>
  <c r="B18" i="6"/>
  <c r="B17" i="2"/>
  <c r="B17" i="6"/>
  <c r="B17" i="3"/>
  <c r="B15" i="2"/>
  <c r="B15" i="6"/>
  <c r="B15" i="3"/>
  <c r="A55" i="2"/>
  <c r="A55" i="6"/>
  <c r="A55" i="3"/>
  <c r="D44" i="2"/>
  <c r="D5" i="2"/>
  <c r="H43" i="2"/>
  <c r="H42" i="2"/>
  <c r="A53" i="2"/>
  <c r="A53" i="6"/>
  <c r="E26" i="2"/>
  <c r="E16" i="2"/>
  <c r="V48" i="1"/>
  <c r="V49" i="1"/>
  <c r="V52" i="1"/>
  <c r="E17" i="2"/>
  <c r="V55" i="1"/>
  <c r="V56" i="1"/>
  <c r="V59" i="1"/>
  <c r="E11" i="2"/>
  <c r="E12" i="2"/>
  <c r="E17" i="1"/>
  <c r="E20" i="2"/>
  <c r="E15" i="2"/>
  <c r="E18" i="2"/>
  <c r="E22" i="2"/>
  <c r="E25" i="2"/>
  <c r="E54" i="2"/>
  <c r="V21" i="1"/>
  <c r="V22" i="1"/>
  <c r="V23" i="1"/>
  <c r="V24" i="1"/>
  <c r="V25" i="1"/>
  <c r="V26" i="1"/>
  <c r="V27" i="1"/>
  <c r="V14" i="1"/>
  <c r="V15" i="1"/>
  <c r="V16" i="1"/>
  <c r="V17" i="1" s="1"/>
  <c r="V9" i="1"/>
  <c r="V10" i="1"/>
  <c r="V12" i="1" s="1"/>
  <c r="E27" i="5" s="1"/>
  <c r="V11" i="1"/>
  <c r="V41" i="1"/>
  <c r="V42" i="1"/>
  <c r="V45" i="1"/>
  <c r="V62" i="1"/>
  <c r="V67" i="1" s="1"/>
  <c r="F18" i="2" s="1"/>
  <c r="G18" i="2" s="1"/>
  <c r="G18" i="6" s="1"/>
  <c r="V63" i="1"/>
  <c r="V64" i="1"/>
  <c r="V65" i="1"/>
  <c r="V66" i="1"/>
  <c r="V69" i="1"/>
  <c r="V70" i="1"/>
  <c r="V71" i="1"/>
  <c r="V72" i="1"/>
  <c r="V73" i="1"/>
  <c r="V80" i="1"/>
  <c r="V85" i="1" s="1"/>
  <c r="F20" i="2" s="1"/>
  <c r="V81" i="1"/>
  <c r="V82" i="1"/>
  <c r="V83" i="1"/>
  <c r="V84" i="1"/>
  <c r="V87" i="1"/>
  <c r="V88" i="1"/>
  <c r="V89" i="1"/>
  <c r="V90" i="1"/>
  <c r="V91" i="1"/>
  <c r="V30" i="1"/>
  <c r="V31" i="1"/>
  <c r="V32" i="1"/>
  <c r="V33" i="1"/>
  <c r="V34" i="1"/>
  <c r="V35" i="1"/>
  <c r="V36" i="1"/>
  <c r="V94" i="1"/>
  <c r="V95" i="1"/>
  <c r="V96" i="1"/>
  <c r="V97" i="1"/>
  <c r="V98" i="1"/>
  <c r="V102" i="1"/>
  <c r="B253" i="1"/>
  <c r="B254" i="1"/>
  <c r="B255" i="1"/>
  <c r="B256" i="1"/>
  <c r="B257" i="1"/>
  <c r="B258" i="1"/>
  <c r="B281" i="1"/>
  <c r="B282" i="1"/>
  <c r="B280" i="1"/>
  <c r="B107" i="1"/>
  <c r="B108" i="1"/>
  <c r="B106" i="1"/>
  <c r="E227" i="1"/>
  <c r="C227" i="1"/>
  <c r="B249" i="1"/>
  <c r="V249" i="1"/>
  <c r="V273" i="1"/>
  <c r="V275" i="1" s="1"/>
  <c r="G3" i="1"/>
  <c r="D3" i="1"/>
  <c r="A1" i="1"/>
  <c r="F2" i="1"/>
  <c r="A224" i="1"/>
  <c r="V272" i="1"/>
  <c r="V274" i="1"/>
  <c r="V248" i="1"/>
  <c r="V250" i="1"/>
  <c r="V200" i="1"/>
  <c r="V201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145" i="1"/>
  <c r="B105" i="1"/>
  <c r="B104" i="1"/>
  <c r="B103" i="1"/>
  <c r="B279" i="1"/>
  <c r="B278" i="1"/>
  <c r="B277" i="1"/>
  <c r="B250" i="1"/>
  <c r="B248" i="1"/>
  <c r="V199" i="1"/>
  <c r="V202" i="1"/>
  <c r="V203" i="1"/>
  <c r="C269" i="1"/>
  <c r="C245" i="1"/>
  <c r="C148" i="1"/>
  <c r="E146" i="1"/>
  <c r="V204" i="1"/>
  <c r="V198" i="1"/>
  <c r="B3" i="1"/>
  <c r="D146" i="1"/>
  <c r="D147" i="1"/>
  <c r="E147" i="1"/>
  <c r="F21" i="5"/>
  <c r="F27" i="5"/>
  <c r="F23" i="5"/>
  <c r="F20" i="5"/>
  <c r="B18" i="5"/>
  <c r="B7" i="5"/>
  <c r="B62" i="3"/>
  <c r="D62" i="3"/>
  <c r="E62" i="3"/>
  <c r="F62" i="3"/>
  <c r="K62" i="3" s="1"/>
  <c r="G62" i="3"/>
  <c r="H62" i="3"/>
  <c r="I62" i="3"/>
  <c r="B63" i="3"/>
  <c r="D63" i="3"/>
  <c r="E63" i="3"/>
  <c r="F63" i="3"/>
  <c r="G63" i="3"/>
  <c r="H63" i="3"/>
  <c r="I63" i="3"/>
  <c r="F64" i="3"/>
  <c r="B61" i="3"/>
  <c r="D16" i="3"/>
  <c r="F57" i="3"/>
  <c r="D58" i="3"/>
  <c r="F58" i="3"/>
  <c r="H58" i="3"/>
  <c r="F56" i="3"/>
  <c r="F59" i="3" s="1"/>
  <c r="D56" i="3"/>
  <c r="D61" i="3"/>
  <c r="C59" i="3"/>
  <c r="H61" i="3"/>
  <c r="H65" i="3" s="1"/>
  <c r="F61" i="3"/>
  <c r="I61" i="3"/>
  <c r="D26" i="3"/>
  <c r="D25" i="3"/>
  <c r="D22" i="3"/>
  <c r="D20" i="3"/>
  <c r="D18" i="3"/>
  <c r="D15" i="3"/>
  <c r="D12" i="3"/>
  <c r="B8" i="3"/>
  <c r="B7" i="3"/>
  <c r="A6" i="3"/>
  <c r="A1" i="3"/>
  <c r="A32" i="3"/>
  <c r="A28" i="3"/>
  <c r="B25" i="3"/>
  <c r="B26" i="3"/>
  <c r="A24" i="3"/>
  <c r="B18" i="3"/>
  <c r="B22" i="3"/>
  <c r="A14" i="3"/>
  <c r="A10" i="3"/>
  <c r="C44" i="3"/>
  <c r="C5" i="3"/>
  <c r="A53" i="3"/>
  <c r="K43" i="3"/>
  <c r="K42" i="3"/>
  <c r="F42" i="3"/>
  <c r="G42" i="3"/>
  <c r="I42" i="3"/>
  <c r="F43" i="3"/>
  <c r="G43" i="3"/>
  <c r="H43" i="3"/>
  <c r="I43" i="3"/>
  <c r="I44" i="3"/>
  <c r="D43" i="3"/>
  <c r="D42" i="3"/>
  <c r="C9" i="4"/>
  <c r="A1" i="4"/>
  <c r="B17" i="4"/>
  <c r="B6" i="4"/>
  <c r="H4" i="4"/>
  <c r="H15" i="4"/>
  <c r="E5" i="4"/>
  <c r="E16" i="4"/>
  <c r="F5" i="4"/>
  <c r="F16" i="4"/>
  <c r="G5" i="4"/>
  <c r="G16" i="4"/>
  <c r="H5" i="4"/>
  <c r="H16" i="4"/>
  <c r="H6" i="4"/>
  <c r="H17" i="4"/>
  <c r="C5" i="4"/>
  <c r="C16" i="4"/>
  <c r="C4" i="4"/>
  <c r="C15" i="4"/>
  <c r="E4" i="4"/>
  <c r="F4" i="4"/>
  <c r="V46" i="1"/>
  <c r="F15" i="2" s="1"/>
  <c r="D218" i="1"/>
  <c r="D270" i="1"/>
  <c r="C18" i="4"/>
  <c r="D54" i="3"/>
  <c r="H56" i="3"/>
  <c r="E29" i="2"/>
  <c r="Q130" i="1"/>
  <c r="Q132" i="1" s="1"/>
  <c r="M129" i="1"/>
  <c r="G56" i="2"/>
  <c r="G56" i="6"/>
  <c r="B56" i="3"/>
  <c r="D11" i="3"/>
  <c r="D29" i="3"/>
  <c r="I56" i="3"/>
  <c r="G56" i="3"/>
  <c r="E56" i="3"/>
  <c r="H57" i="3"/>
  <c r="H64" i="3"/>
  <c r="D114" i="1"/>
  <c r="B35" i="2"/>
  <c r="B35" i="6"/>
  <c r="E37" i="2"/>
  <c r="F37" i="2"/>
  <c r="G34" i="2"/>
  <c r="G34" i="6"/>
  <c r="V205" i="1"/>
  <c r="S130" i="1"/>
  <c r="S132" i="1"/>
  <c r="E218" i="1"/>
  <c r="E270" i="1"/>
  <c r="O130" i="1"/>
  <c r="O132" i="1" s="1"/>
  <c r="F54" i="2"/>
  <c r="G54" i="2" s="1"/>
  <c r="G54" i="6" s="1"/>
  <c r="V53" i="1"/>
  <c r="F16" i="2"/>
  <c r="B58" i="2"/>
  <c r="B58" i="6"/>
  <c r="F58" i="6"/>
  <c r="E58" i="3"/>
  <c r="G58" i="3"/>
  <c r="I58" i="3"/>
  <c r="B61" i="2"/>
  <c r="B61" i="6"/>
  <c r="F61" i="6"/>
  <c r="V216" i="1"/>
  <c r="G61" i="3"/>
  <c r="G65" i="3" s="1"/>
  <c r="E61" i="3"/>
  <c r="I34" i="3"/>
  <c r="G34" i="3"/>
  <c r="D27" i="3"/>
  <c r="E27" i="2"/>
  <c r="E30" i="2"/>
  <c r="E31" i="2"/>
  <c r="D30" i="3"/>
  <c r="D31" i="3"/>
  <c r="D287" i="1"/>
  <c r="C21" i="4" s="1"/>
  <c r="V194" i="1"/>
  <c r="V176" i="1"/>
  <c r="F56" i="2"/>
  <c r="B57" i="2"/>
  <c r="B57" i="6"/>
  <c r="F57" i="6"/>
  <c r="E57" i="3"/>
  <c r="G57" i="3"/>
  <c r="I57" i="3"/>
  <c r="B64" i="2"/>
  <c r="B64" i="6"/>
  <c r="F64" i="6"/>
  <c r="B64" i="3"/>
  <c r="E64" i="3"/>
  <c r="G64" i="3"/>
  <c r="I64" i="3"/>
  <c r="G62" i="2"/>
  <c r="G62" i="6"/>
  <c r="E62" i="2"/>
  <c r="V251" i="1"/>
  <c r="D135" i="1"/>
  <c r="E135" i="1"/>
  <c r="V185" i="1"/>
  <c r="V167" i="1"/>
  <c r="T130" i="1"/>
  <c r="T132" i="1" s="1"/>
  <c r="P130" i="1"/>
  <c r="P132" i="1" s="1"/>
  <c r="D130" i="1"/>
  <c r="R130" i="1"/>
  <c r="R132" i="1"/>
  <c r="E130" i="1"/>
  <c r="D65" i="3"/>
  <c r="E64" i="2"/>
  <c r="E34" i="3"/>
  <c r="B50" i="2"/>
  <c r="B50" i="6"/>
  <c r="F50" i="2"/>
  <c r="E50" i="2"/>
  <c r="E48" i="2"/>
  <c r="B48" i="2"/>
  <c r="B48" i="6"/>
  <c r="G48" i="2"/>
  <c r="G48" i="6"/>
  <c r="F48" i="2"/>
  <c r="F58" i="2"/>
  <c r="G58" i="2"/>
  <c r="G58" i="6"/>
  <c r="E58" i="2"/>
  <c r="E63" i="2"/>
  <c r="G63" i="2"/>
  <c r="G63" i="6"/>
  <c r="F63" i="2"/>
  <c r="K34" i="3"/>
  <c r="H34" i="3"/>
  <c r="F34" i="3"/>
  <c r="D59" i="3"/>
  <c r="E144" i="1"/>
  <c r="F49" i="2"/>
  <c r="E49" i="2"/>
  <c r="B49" i="2"/>
  <c r="B49" i="6"/>
  <c r="G49" i="2"/>
  <c r="G49" i="6"/>
  <c r="B47" i="2"/>
  <c r="B47" i="6"/>
  <c r="G47" i="2"/>
  <c r="G47" i="6"/>
  <c r="F47" i="2"/>
  <c r="E47" i="2"/>
  <c r="F61" i="2"/>
  <c r="E61" i="2"/>
  <c r="G61" i="2"/>
  <c r="G61" i="6"/>
  <c r="V131" i="1"/>
  <c r="E263" i="1"/>
  <c r="B37" i="2"/>
  <c r="B37" i="6"/>
  <c r="B37" i="3"/>
  <c r="E33" i="2"/>
  <c r="E56" i="2"/>
  <c r="F57" i="2"/>
  <c r="F59" i="2"/>
  <c r="F64" i="2"/>
  <c r="F62" i="2"/>
  <c r="M130" i="1"/>
  <c r="M132" i="1" s="1"/>
  <c r="E65" i="2"/>
  <c r="E59" i="3"/>
  <c r="H49" i="3"/>
  <c r="F49" i="3"/>
  <c r="D49" i="3"/>
  <c r="E49" i="3"/>
  <c r="K49" i="3"/>
  <c r="G49" i="3"/>
  <c r="I49" i="3"/>
  <c r="B49" i="3"/>
  <c r="H50" i="3"/>
  <c r="F50" i="3"/>
  <c r="D50" i="3"/>
  <c r="K50" i="3"/>
  <c r="B50" i="3"/>
  <c r="G50" i="3"/>
  <c r="E50" i="3"/>
  <c r="I50" i="3"/>
  <c r="H47" i="3"/>
  <c r="F47" i="3"/>
  <c r="D47" i="3"/>
  <c r="G47" i="3"/>
  <c r="I47" i="3"/>
  <c r="B47" i="3"/>
  <c r="E47" i="3"/>
  <c r="K47" i="3"/>
  <c r="G57" i="2"/>
  <c r="G57" i="6"/>
  <c r="E57" i="2"/>
  <c r="E59" i="2"/>
  <c r="B57" i="3"/>
  <c r="H48" i="3"/>
  <c r="F48" i="3"/>
  <c r="D48" i="3"/>
  <c r="K48" i="3"/>
  <c r="B48" i="3"/>
  <c r="G48" i="3"/>
  <c r="E48" i="3"/>
  <c r="I48" i="3"/>
  <c r="E37" i="3"/>
  <c r="G37" i="3"/>
  <c r="I37" i="3"/>
  <c r="D37" i="3"/>
  <c r="H37" i="3"/>
  <c r="F37" i="3"/>
  <c r="K37" i="3"/>
  <c r="F65" i="2"/>
  <c r="E246" i="1"/>
  <c r="E265" i="1"/>
  <c r="E220" i="1"/>
  <c r="E27" i="6"/>
  <c r="F65" i="6"/>
  <c r="F16" i="6"/>
  <c r="F54" i="6"/>
  <c r="E56" i="6"/>
  <c r="E57" i="6"/>
  <c r="E58" i="6"/>
  <c r="E61" i="6"/>
  <c r="E62" i="6"/>
  <c r="E63" i="6"/>
  <c r="E64" i="6"/>
  <c r="G59" i="6"/>
  <c r="E65" i="6"/>
  <c r="E59" i="6"/>
  <c r="G16" i="2"/>
  <c r="G59" i="2"/>
  <c r="G50" i="2"/>
  <c r="F49" i="6"/>
  <c r="E49" i="6"/>
  <c r="G64" i="2"/>
  <c r="F50" i="6"/>
  <c r="E50" i="6"/>
  <c r="B58" i="3"/>
  <c r="B35" i="3"/>
  <c r="B19" i="3"/>
  <c r="B20" i="3"/>
  <c r="B21" i="3"/>
  <c r="A60" i="3"/>
  <c r="B11" i="3"/>
  <c r="B12" i="3"/>
  <c r="A45" i="3"/>
  <c r="D38" i="1"/>
  <c r="E29" i="6"/>
  <c r="E37" i="6"/>
  <c r="F37" i="6"/>
  <c r="G37" i="2"/>
  <c r="G37" i="6"/>
  <c r="F47" i="6"/>
  <c r="E47" i="6"/>
  <c r="F48" i="6"/>
  <c r="E48" i="6"/>
  <c r="E33" i="6"/>
  <c r="E38" i="6" s="1"/>
  <c r="E35" i="6"/>
  <c r="F35" i="6"/>
  <c r="G35" i="2"/>
  <c r="F35" i="2"/>
  <c r="F59" i="6"/>
  <c r="D21" i="3"/>
  <c r="D17" i="3"/>
  <c r="F34" i="6"/>
  <c r="G35" i="6"/>
  <c r="E31" i="6"/>
  <c r="G35" i="3"/>
  <c r="F35" i="3"/>
  <c r="K35" i="3"/>
  <c r="I35" i="3"/>
  <c r="D35" i="3"/>
  <c r="H35" i="3"/>
  <c r="E35" i="3"/>
  <c r="G64" i="6"/>
  <c r="G65" i="6"/>
  <c r="G65" i="2"/>
  <c r="G16" i="6"/>
  <c r="G50" i="6"/>
  <c r="V153" i="1"/>
  <c r="H158" i="1"/>
  <c r="H130" i="1" s="1"/>
  <c r="H132" i="1" s="1"/>
  <c r="R134" i="1" l="1"/>
  <c r="P134" i="1"/>
  <c r="S134" i="1"/>
  <c r="O134" i="1"/>
  <c r="N129" i="1"/>
  <c r="N130" i="1"/>
  <c r="N132" i="1" s="1"/>
  <c r="M134" i="1"/>
  <c r="V233" i="1"/>
  <c r="K130" i="1"/>
  <c r="K132" i="1" s="1"/>
  <c r="G132" i="1"/>
  <c r="J129" i="1"/>
  <c r="J134" i="1" s="1"/>
  <c r="F130" i="1"/>
  <c r="F132" i="1" s="1"/>
  <c r="F134" i="1" s="1"/>
  <c r="K134" i="1"/>
  <c r="G129" i="1"/>
  <c r="G134" i="1" s="1"/>
  <c r="H129" i="1"/>
  <c r="I129" i="1"/>
  <c r="L129" i="1"/>
  <c r="L130" i="1"/>
  <c r="L132" i="1" s="1"/>
  <c r="I132" i="1"/>
  <c r="V154" i="1"/>
  <c r="V158" i="1" s="1"/>
  <c r="V92" i="1"/>
  <c r="F21" i="6" s="1"/>
  <c r="V74" i="1"/>
  <c r="F19" i="6" s="1"/>
  <c r="V99" i="1"/>
  <c r="F22" i="6" s="1"/>
  <c r="I100" i="1"/>
  <c r="V37" i="1"/>
  <c r="F12" i="2" s="1"/>
  <c r="G12" i="2" s="1"/>
  <c r="G12" i="6" s="1"/>
  <c r="B33" i="6"/>
  <c r="B33" i="3"/>
  <c r="F33" i="6"/>
  <c r="F38" i="6" s="1"/>
  <c r="F33" i="2"/>
  <c r="G33" i="2" s="1"/>
  <c r="G33" i="6" s="1"/>
  <c r="D119" i="1"/>
  <c r="E21" i="2"/>
  <c r="G20" i="2"/>
  <c r="G20" i="6" s="1"/>
  <c r="F20" i="6"/>
  <c r="D100" i="1"/>
  <c r="D144" i="1" s="1"/>
  <c r="D246" i="1" s="1"/>
  <c r="D19" i="3"/>
  <c r="D23" i="3" s="1"/>
  <c r="E23" i="2"/>
  <c r="F19" i="2"/>
  <c r="G19" i="2" s="1"/>
  <c r="G19" i="6" s="1"/>
  <c r="F18" i="6"/>
  <c r="F17" i="2"/>
  <c r="G17" i="2" s="1"/>
  <c r="G17" i="6" s="1"/>
  <c r="V100" i="1"/>
  <c r="F17" i="6"/>
  <c r="E23" i="6"/>
  <c r="F15" i="6"/>
  <c r="G15" i="2"/>
  <c r="E13" i="2"/>
  <c r="D13" i="3"/>
  <c r="V28" i="1"/>
  <c r="F11" i="2" s="1"/>
  <c r="E13" i="6"/>
  <c r="F11" i="6"/>
  <c r="D8" i="3"/>
  <c r="F8" i="2"/>
  <c r="E8" i="2"/>
  <c r="E8" i="6"/>
  <c r="F8" i="6" s="1"/>
  <c r="F234" i="1"/>
  <c r="M235" i="1"/>
  <c r="M195" i="1" s="1"/>
  <c r="M196" i="1" s="1"/>
  <c r="M218" i="1" s="1"/>
  <c r="M270" i="1" s="1"/>
  <c r="O234" i="1"/>
  <c r="J234" i="1"/>
  <c r="J235" i="1"/>
  <c r="J195" i="1" s="1"/>
  <c r="J196" i="1" s="1"/>
  <c r="J218" i="1" s="1"/>
  <c r="J270" i="1" s="1"/>
  <c r="H235" i="1"/>
  <c r="H195" i="1" s="1"/>
  <c r="H196" i="1" s="1"/>
  <c r="H218" i="1" s="1"/>
  <c r="H270" i="1" s="1"/>
  <c r="S235" i="1"/>
  <c r="S195" i="1" s="1"/>
  <c r="S196" i="1" s="1"/>
  <c r="S218" i="1" s="1"/>
  <c r="S270" i="1" s="1"/>
  <c r="T235" i="1"/>
  <c r="T195" i="1" s="1"/>
  <c r="T196" i="1" s="1"/>
  <c r="T218" i="1" s="1"/>
  <c r="T270" i="1" s="1"/>
  <c r="T234" i="1"/>
  <c r="G235" i="1"/>
  <c r="G195" i="1" s="1"/>
  <c r="G196" i="1" s="1"/>
  <c r="G218" i="1" s="1"/>
  <c r="G270" i="1" s="1"/>
  <c r="R234" i="1"/>
  <c r="P235" i="1"/>
  <c r="P195" i="1" s="1"/>
  <c r="P196" i="1" s="1"/>
  <c r="P218" i="1" s="1"/>
  <c r="P270" i="1" s="1"/>
  <c r="I235" i="1"/>
  <c r="I195" i="1" s="1"/>
  <c r="I196" i="1" s="1"/>
  <c r="I218" i="1" s="1"/>
  <c r="I270" i="1" s="1"/>
  <c r="G234" i="1"/>
  <c r="G236" i="1" s="1"/>
  <c r="N234" i="1"/>
  <c r="N235" i="1"/>
  <c r="N195" i="1" s="1"/>
  <c r="N196" i="1" s="1"/>
  <c r="N218" i="1" s="1"/>
  <c r="N270" i="1" s="1"/>
  <c r="T134" i="1"/>
  <c r="V18" i="1"/>
  <c r="E9" i="6"/>
  <c r="F7" i="6"/>
  <c r="E7" i="2"/>
  <c r="H234" i="1"/>
  <c r="H236" i="1" s="1"/>
  <c r="P234" i="1"/>
  <c r="P236" i="1" s="1"/>
  <c r="Q235" i="1"/>
  <c r="Q195" i="1" s="1"/>
  <c r="Q196" i="1" s="1"/>
  <c r="Q218" i="1" s="1"/>
  <c r="Q270" i="1" s="1"/>
  <c r="F235" i="1"/>
  <c r="K234" i="1"/>
  <c r="D7" i="3"/>
  <c r="D9" i="3" s="1"/>
  <c r="L235" i="1"/>
  <c r="L195" i="1" s="1"/>
  <c r="L196" i="1" s="1"/>
  <c r="L218" i="1" s="1"/>
  <c r="L270" i="1" s="1"/>
  <c r="R235" i="1"/>
  <c r="R195" i="1" s="1"/>
  <c r="R196" i="1" s="1"/>
  <c r="R218" i="1" s="1"/>
  <c r="R270" i="1" s="1"/>
  <c r="L234" i="1"/>
  <c r="S234" i="1"/>
  <c r="S236" i="1" s="1"/>
  <c r="K235" i="1"/>
  <c r="K195" i="1" s="1"/>
  <c r="K196" i="1" s="1"/>
  <c r="K218" i="1" s="1"/>
  <c r="K270" i="1" s="1"/>
  <c r="Q234" i="1"/>
  <c r="Q236" i="1" s="1"/>
  <c r="I234" i="1"/>
  <c r="O235" i="1"/>
  <c r="O195" i="1" s="1"/>
  <c r="O196" i="1" s="1"/>
  <c r="O218" i="1" s="1"/>
  <c r="O270" i="1" s="1"/>
  <c r="M234" i="1"/>
  <c r="Q134" i="1"/>
  <c r="H229" i="1"/>
  <c r="O229" i="1"/>
  <c r="K229" i="1"/>
  <c r="I229" i="1"/>
  <c r="F229" i="1"/>
  <c r="R229" i="1"/>
  <c r="R230" i="1" s="1"/>
  <c r="N229" i="1"/>
  <c r="N230" i="1" s="1"/>
  <c r="T229" i="1"/>
  <c r="T230" i="1" s="1"/>
  <c r="J229" i="1"/>
  <c r="G229" i="1"/>
  <c r="Q229" i="1"/>
  <c r="M229" i="1"/>
  <c r="L229" i="1"/>
  <c r="S229" i="1"/>
  <c r="P229" i="1"/>
  <c r="A2" i="2"/>
  <c r="A2" i="3"/>
  <c r="A2" i="4"/>
  <c r="I59" i="3"/>
  <c r="K56" i="3"/>
  <c r="F65" i="3"/>
  <c r="K61" i="3"/>
  <c r="H59" i="3"/>
  <c r="K64" i="3"/>
  <c r="E65" i="3"/>
  <c r="K57" i="3"/>
  <c r="G59" i="3"/>
  <c r="E5" i="2"/>
  <c r="E245" i="1"/>
  <c r="E269" i="1"/>
  <c r="E5" i="6"/>
  <c r="K5" i="3"/>
  <c r="K44" i="3" s="1"/>
  <c r="E148" i="1"/>
  <c r="F5" i="1"/>
  <c r="D6" i="1"/>
  <c r="E78" i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K58" i="3"/>
  <c r="K63" i="3"/>
  <c r="I65" i="3"/>
  <c r="F22" i="2" l="1"/>
  <c r="G22" i="2" s="1"/>
  <c r="G22" i="6" s="1"/>
  <c r="V38" i="1"/>
  <c r="F12" i="6"/>
  <c r="N134" i="1"/>
  <c r="M230" i="1"/>
  <c r="M236" i="1"/>
  <c r="G230" i="1"/>
  <c r="L230" i="1"/>
  <c r="L134" i="1"/>
  <c r="V132" i="1"/>
  <c r="H230" i="1"/>
  <c r="V130" i="1"/>
  <c r="V129" i="1"/>
  <c r="H134" i="1"/>
  <c r="K236" i="1"/>
  <c r="E46" i="6"/>
  <c r="E52" i="6" s="1"/>
  <c r="E67" i="6" s="1"/>
  <c r="B46" i="3"/>
  <c r="E46" i="2"/>
  <c r="F46" i="2" s="1"/>
  <c r="C149" i="1"/>
  <c r="H46" i="3"/>
  <c r="F46" i="6"/>
  <c r="F52" i="6" s="1"/>
  <c r="F67" i="6" s="1"/>
  <c r="E46" i="3"/>
  <c r="B46" i="2"/>
  <c r="G46" i="3"/>
  <c r="D46" i="3"/>
  <c r="F46" i="3"/>
  <c r="I134" i="1"/>
  <c r="F21" i="2"/>
  <c r="G21" i="2" s="1"/>
  <c r="G21" i="6" s="1"/>
  <c r="F13" i="6"/>
  <c r="I230" i="1"/>
  <c r="O236" i="1"/>
  <c r="Q230" i="1"/>
  <c r="I236" i="1"/>
  <c r="J230" i="1"/>
  <c r="J236" i="1"/>
  <c r="F33" i="3"/>
  <c r="G33" i="3"/>
  <c r="E33" i="3"/>
  <c r="H33" i="3"/>
  <c r="D33" i="3"/>
  <c r="F23" i="6"/>
  <c r="G15" i="6"/>
  <c r="G23" i="6" s="1"/>
  <c r="F13" i="2"/>
  <c r="G11" i="2"/>
  <c r="G11" i="6" s="1"/>
  <c r="G13" i="6" s="1"/>
  <c r="D220" i="1"/>
  <c r="D222" i="1" s="1"/>
  <c r="E222" i="1" s="1"/>
  <c r="E40" i="6"/>
  <c r="G8" i="2"/>
  <c r="G8" i="6" s="1"/>
  <c r="F9" i="6"/>
  <c r="S230" i="1"/>
  <c r="O230" i="1"/>
  <c r="N236" i="1"/>
  <c r="P230" i="1"/>
  <c r="T236" i="1"/>
  <c r="V235" i="1"/>
  <c r="F195" i="1"/>
  <c r="E9" i="2"/>
  <c r="F7" i="2"/>
  <c r="F9" i="2" s="1"/>
  <c r="D265" i="1"/>
  <c r="C7" i="4"/>
  <c r="C13" i="4" s="1"/>
  <c r="K230" i="1"/>
  <c r="F236" i="1"/>
  <c r="R236" i="1"/>
  <c r="V234" i="1"/>
  <c r="L236" i="1"/>
  <c r="V229" i="1"/>
  <c r="K65" i="3"/>
  <c r="D78" i="1"/>
  <c r="D245" i="1"/>
  <c r="D227" i="1"/>
  <c r="D148" i="1"/>
  <c r="D269" i="1"/>
  <c r="D5" i="3"/>
  <c r="E44" i="6"/>
  <c r="G44" i="6"/>
  <c r="G5" i="6"/>
  <c r="E44" i="2"/>
  <c r="G44" i="2"/>
  <c r="G5" i="2"/>
  <c r="G5" i="1"/>
  <c r="E4" i="3"/>
  <c r="F147" i="1"/>
  <c r="E42" i="3"/>
  <c r="D4" i="4"/>
  <c r="E44" i="3"/>
  <c r="F226" i="1"/>
  <c r="D16" i="4"/>
  <c r="D5" i="4"/>
  <c r="F244" i="1"/>
  <c r="D6" i="4"/>
  <c r="E43" i="3"/>
  <c r="D17" i="4"/>
  <c r="E5" i="3"/>
  <c r="F5" i="3" s="1"/>
  <c r="F268" i="1"/>
  <c r="E3" i="3"/>
  <c r="D15" i="4"/>
  <c r="K59" i="3"/>
  <c r="V134" i="1" l="1"/>
  <c r="F30" i="6" s="1"/>
  <c r="I46" i="3"/>
  <c r="K46" i="3" s="1"/>
  <c r="B46" i="6"/>
  <c r="G46" i="2"/>
  <c r="G46" i="6" s="1"/>
  <c r="G23" i="2"/>
  <c r="F23" i="2"/>
  <c r="G7" i="2"/>
  <c r="V236" i="1"/>
  <c r="I33" i="3"/>
  <c r="K33" i="3" s="1"/>
  <c r="G13" i="2"/>
  <c r="G9" i="2"/>
  <c r="G7" i="6"/>
  <c r="G9" i="6" s="1"/>
  <c r="F196" i="1"/>
  <c r="V195" i="1"/>
  <c r="F254" i="1"/>
  <c r="F256" i="1"/>
  <c r="F259" i="1"/>
  <c r="F255" i="1"/>
  <c r="F258" i="1"/>
  <c r="G244" i="1"/>
  <c r="F260" i="1"/>
  <c r="F257" i="1"/>
  <c r="F253" i="1"/>
  <c r="C6" i="4"/>
  <c r="C17" i="4" s="1"/>
  <c r="D44" i="3"/>
  <c r="D284" i="1"/>
  <c r="E279" i="1"/>
  <c r="D282" i="1"/>
  <c r="E282" i="1"/>
  <c r="E284" i="1"/>
  <c r="D280" i="1"/>
  <c r="D278" i="1"/>
  <c r="D277" i="1"/>
  <c r="E278" i="1"/>
  <c r="E283" i="1"/>
  <c r="D279" i="1"/>
  <c r="D281" i="1"/>
  <c r="D283" i="1"/>
  <c r="E281" i="1"/>
  <c r="E277" i="1"/>
  <c r="E280" i="1"/>
  <c r="H16" i="3"/>
  <c r="G22" i="3"/>
  <c r="H19" i="3"/>
  <c r="F17" i="3"/>
  <c r="G11" i="3"/>
  <c r="H5" i="1"/>
  <c r="G54" i="3"/>
  <c r="H20" i="3"/>
  <c r="F18" i="3"/>
  <c r="F15" i="3"/>
  <c r="G8" i="4"/>
  <c r="H30" i="3"/>
  <c r="H54" i="3"/>
  <c r="F21" i="3"/>
  <c r="G18" i="3"/>
  <c r="H12" i="3"/>
  <c r="F8" i="3"/>
  <c r="G147" i="1"/>
  <c r="F22" i="3"/>
  <c r="G19" i="3"/>
  <c r="G12" i="3"/>
  <c r="G19" i="4"/>
  <c r="F8" i="4"/>
  <c r="G18" i="4"/>
  <c r="E18" i="4"/>
  <c r="H21" i="3"/>
  <c r="G15" i="3"/>
  <c r="F20" i="3"/>
  <c r="H7" i="3"/>
  <c r="F19" i="4"/>
  <c r="G268" i="1"/>
  <c r="F19" i="3"/>
  <c r="G7" i="3"/>
  <c r="H18" i="3"/>
  <c r="F11" i="3"/>
  <c r="E8" i="4"/>
  <c r="F54" i="3"/>
  <c r="F12" i="3"/>
  <c r="H22" i="3"/>
  <c r="H15" i="3"/>
  <c r="F7" i="3"/>
  <c r="G30" i="3"/>
  <c r="G20" i="3"/>
  <c r="G21" i="3"/>
  <c r="E19" i="4"/>
  <c r="H17" i="3"/>
  <c r="G17" i="3"/>
  <c r="G16" i="3"/>
  <c r="H8" i="3"/>
  <c r="H11" i="3"/>
  <c r="G8" i="3"/>
  <c r="F18" i="4"/>
  <c r="F30" i="3"/>
  <c r="F16" i="3"/>
  <c r="E6" i="4"/>
  <c r="E17" i="4" s="1"/>
  <c r="F44" i="3"/>
  <c r="G5" i="3"/>
  <c r="G226" i="1"/>
  <c r="F30" i="2" l="1"/>
  <c r="G30" i="2" s="1"/>
  <c r="G30" i="6" s="1"/>
  <c r="H51" i="3"/>
  <c r="H52" i="3" s="1"/>
  <c r="H67" i="3" s="1"/>
  <c r="E51" i="2"/>
  <c r="E52" i="2" s="1"/>
  <c r="E67" i="2" s="1"/>
  <c r="F51" i="6"/>
  <c r="F51" i="3"/>
  <c r="F52" i="3" s="1"/>
  <c r="F67" i="3" s="1"/>
  <c r="B51" i="3"/>
  <c r="E51" i="6"/>
  <c r="V196" i="1"/>
  <c r="D51" i="3"/>
  <c r="D52" i="3" s="1"/>
  <c r="D67" i="3" s="1"/>
  <c r="E51" i="3"/>
  <c r="E52" i="3" s="1"/>
  <c r="G51" i="3"/>
  <c r="G52" i="3" s="1"/>
  <c r="G67" i="3" s="1"/>
  <c r="B51" i="2"/>
  <c r="F218" i="1"/>
  <c r="F230" i="1"/>
  <c r="V230" i="1" s="1"/>
  <c r="H226" i="1"/>
  <c r="G23" i="3"/>
  <c r="F9" i="3"/>
  <c r="G9" i="3"/>
  <c r="D285" i="1"/>
  <c r="F103" i="1"/>
  <c r="H13" i="3"/>
  <c r="H23" i="3"/>
  <c r="H9" i="3"/>
  <c r="E285" i="1"/>
  <c r="E289" i="1" s="1"/>
  <c r="E291" i="1" s="1"/>
  <c r="F105" i="1"/>
  <c r="F104" i="1"/>
  <c r="F108" i="1"/>
  <c r="G254" i="1"/>
  <c r="G253" i="1"/>
  <c r="G259" i="1"/>
  <c r="G258" i="1"/>
  <c r="G255" i="1"/>
  <c r="G260" i="1"/>
  <c r="G257" i="1"/>
  <c r="G256" i="1"/>
  <c r="H244" i="1"/>
  <c r="G13" i="3"/>
  <c r="F109" i="1"/>
  <c r="F110" i="1"/>
  <c r="H5" i="3"/>
  <c r="F6" i="4"/>
  <c r="F17" i="4" s="1"/>
  <c r="G44" i="3"/>
  <c r="F107" i="1"/>
  <c r="F13" i="3"/>
  <c r="G281" i="1"/>
  <c r="G279" i="1"/>
  <c r="G277" i="1"/>
  <c r="G278" i="1"/>
  <c r="G283" i="1"/>
  <c r="G282" i="1"/>
  <c r="G284" i="1"/>
  <c r="G280" i="1"/>
  <c r="F281" i="1"/>
  <c r="F278" i="1"/>
  <c r="F282" i="1"/>
  <c r="F280" i="1"/>
  <c r="F279" i="1"/>
  <c r="F284" i="1"/>
  <c r="F283" i="1"/>
  <c r="H109" i="1" s="1"/>
  <c r="F277" i="1"/>
  <c r="F23" i="3"/>
  <c r="H268" i="1"/>
  <c r="H147" i="1"/>
  <c r="I5" i="1"/>
  <c r="G106" i="1"/>
  <c r="H106" i="1"/>
  <c r="F106" i="1"/>
  <c r="F261" i="1"/>
  <c r="F51" i="2" l="1"/>
  <c r="F52" i="2" s="1"/>
  <c r="F67" i="2" s="1"/>
  <c r="I51" i="3"/>
  <c r="I52" i="3" s="1"/>
  <c r="B51" i="6"/>
  <c r="F270" i="1"/>
  <c r="V270" i="1" s="1"/>
  <c r="V218" i="1"/>
  <c r="H257" i="1"/>
  <c r="H254" i="1"/>
  <c r="I244" i="1"/>
  <c r="H259" i="1"/>
  <c r="H260" i="1"/>
  <c r="H258" i="1"/>
  <c r="H253" i="1"/>
  <c r="I103" i="1" s="1"/>
  <c r="H255" i="1"/>
  <c r="H256" i="1"/>
  <c r="H108" i="1"/>
  <c r="H105" i="1"/>
  <c r="I105" i="1"/>
  <c r="G105" i="1"/>
  <c r="I147" i="1"/>
  <c r="J5" i="1"/>
  <c r="I268" i="1"/>
  <c r="D19" i="4"/>
  <c r="H19" i="4" s="1"/>
  <c r="E15" i="3"/>
  <c r="E18" i="3"/>
  <c r="E12" i="3"/>
  <c r="E54" i="3"/>
  <c r="E7" i="3"/>
  <c r="E8" i="3"/>
  <c r="E17" i="3"/>
  <c r="E22" i="3"/>
  <c r="E20" i="3"/>
  <c r="E30" i="3"/>
  <c r="E21" i="3"/>
  <c r="E11" i="3"/>
  <c r="D9" i="4"/>
  <c r="D8" i="4"/>
  <c r="H8" i="4" s="1"/>
  <c r="E16" i="3"/>
  <c r="E19" i="3"/>
  <c r="F285" i="1"/>
  <c r="H107" i="1"/>
  <c r="G110" i="1"/>
  <c r="I109" i="1"/>
  <c r="G108" i="1"/>
  <c r="H104" i="1"/>
  <c r="G104" i="1"/>
  <c r="G285" i="1"/>
  <c r="E20" i="4" s="1"/>
  <c r="H44" i="3"/>
  <c r="G6" i="4"/>
  <c r="G17" i="4" s="1"/>
  <c r="G109" i="1"/>
  <c r="F111" i="1"/>
  <c r="D289" i="1"/>
  <c r="D291" i="1" s="1"/>
  <c r="D293" i="1" s="1"/>
  <c r="E293" i="1" s="1"/>
  <c r="C20" i="4"/>
  <c r="C24" i="4" s="1"/>
  <c r="C26" i="4" s="1"/>
  <c r="C28" i="4" s="1"/>
  <c r="H103" i="1"/>
  <c r="H278" i="1"/>
  <c r="H279" i="1"/>
  <c r="H277" i="1"/>
  <c r="H281" i="1"/>
  <c r="H280" i="1"/>
  <c r="H283" i="1"/>
  <c r="H284" i="1"/>
  <c r="H282" i="1"/>
  <c r="G107" i="1"/>
  <c r="H110" i="1"/>
  <c r="G261" i="1"/>
  <c r="E9" i="4" s="1"/>
  <c r="G103" i="1"/>
  <c r="I226" i="1"/>
  <c r="G51" i="2" l="1"/>
  <c r="G52" i="2" s="1"/>
  <c r="G67" i="2" s="1"/>
  <c r="K51" i="3"/>
  <c r="K52" i="3" s="1"/>
  <c r="D18" i="4"/>
  <c r="H18" i="4" s="1"/>
  <c r="J226" i="1"/>
  <c r="I104" i="1"/>
  <c r="I111" i="1" s="1"/>
  <c r="I17" i="3"/>
  <c r="K17" i="3" s="1"/>
  <c r="I15" i="3"/>
  <c r="K15" i="3" s="1"/>
  <c r="E23" i="3"/>
  <c r="I253" i="1"/>
  <c r="I260" i="1"/>
  <c r="I254" i="1"/>
  <c r="I258" i="1"/>
  <c r="I256" i="1"/>
  <c r="I259" i="1"/>
  <c r="J244" i="1"/>
  <c r="I257" i="1"/>
  <c r="I255" i="1"/>
  <c r="I106" i="1"/>
  <c r="I8" i="3"/>
  <c r="K8" i="3" s="1"/>
  <c r="I54" i="3"/>
  <c r="I67" i="3" s="1"/>
  <c r="E67" i="3"/>
  <c r="J268" i="1"/>
  <c r="K5" i="1"/>
  <c r="J147" i="1"/>
  <c r="I107" i="1"/>
  <c r="I110" i="1"/>
  <c r="H285" i="1"/>
  <c r="H111" i="1"/>
  <c r="F121" i="1"/>
  <c r="F119" i="1"/>
  <c r="F118" i="1"/>
  <c r="I108" i="1"/>
  <c r="E13" i="3"/>
  <c r="I11" i="3"/>
  <c r="I20" i="3"/>
  <c r="K20" i="3" s="1"/>
  <c r="I7" i="3"/>
  <c r="K7" i="3" s="1"/>
  <c r="E9" i="3"/>
  <c r="I12" i="3"/>
  <c r="K12" i="3" s="1"/>
  <c r="I19" i="3"/>
  <c r="K19" i="3" s="1"/>
  <c r="H261" i="1"/>
  <c r="F9" i="4" s="1"/>
  <c r="G111" i="1"/>
  <c r="J104" i="1"/>
  <c r="I16" i="3"/>
  <c r="K16" i="3" s="1"/>
  <c r="I30" i="3"/>
  <c r="K30" i="3" s="1"/>
  <c r="D20" i="4"/>
  <c r="I21" i="3"/>
  <c r="K21" i="3" s="1"/>
  <c r="I22" i="3"/>
  <c r="K22" i="3" s="1"/>
  <c r="E25" i="3"/>
  <c r="I18" i="3"/>
  <c r="K18" i="3" s="1"/>
  <c r="I278" i="1"/>
  <c r="I280" i="1"/>
  <c r="I279" i="1"/>
  <c r="J105" i="1" s="1"/>
  <c r="I283" i="1"/>
  <c r="I281" i="1"/>
  <c r="I282" i="1"/>
  <c r="I277" i="1"/>
  <c r="I284" i="1"/>
  <c r="G51" i="6" l="1"/>
  <c r="G52" i="6" s="1"/>
  <c r="G67" i="6" s="1"/>
  <c r="I121" i="1"/>
  <c r="I118" i="1"/>
  <c r="I119" i="1"/>
  <c r="H25" i="3"/>
  <c r="J284" i="1"/>
  <c r="J280" i="1"/>
  <c r="J281" i="1"/>
  <c r="J277" i="1"/>
  <c r="J283" i="1"/>
  <c r="J278" i="1"/>
  <c r="J279" i="1"/>
  <c r="J282" i="1"/>
  <c r="J259" i="1"/>
  <c r="K109" i="1" s="1"/>
  <c r="J253" i="1"/>
  <c r="J260" i="1"/>
  <c r="K244" i="1"/>
  <c r="J258" i="1"/>
  <c r="K108" i="1" s="1"/>
  <c r="J256" i="1"/>
  <c r="J254" i="1"/>
  <c r="J257" i="1"/>
  <c r="J255" i="1"/>
  <c r="K23" i="3"/>
  <c r="J106" i="1"/>
  <c r="J107" i="1"/>
  <c r="G119" i="1"/>
  <c r="G121" i="1"/>
  <c r="G118" i="1"/>
  <c r="F25" i="3"/>
  <c r="K9" i="3"/>
  <c r="F29" i="5"/>
  <c r="L5" i="1"/>
  <c r="K147" i="1"/>
  <c r="K268" i="1"/>
  <c r="I261" i="1"/>
  <c r="G9" i="4" s="1"/>
  <c r="J108" i="1"/>
  <c r="F122" i="1"/>
  <c r="F120" i="1"/>
  <c r="F20" i="4"/>
  <c r="I23" i="3"/>
  <c r="K104" i="1"/>
  <c r="K106" i="1"/>
  <c r="J110" i="1"/>
  <c r="K110" i="1"/>
  <c r="J109" i="1"/>
  <c r="I13" i="3"/>
  <c r="I285" i="1"/>
  <c r="K103" i="1"/>
  <c r="J103" i="1"/>
  <c r="K105" i="1"/>
  <c r="I9" i="3"/>
  <c r="K11" i="3"/>
  <c r="K13" i="3" s="1"/>
  <c r="H121" i="1"/>
  <c r="H118" i="1"/>
  <c r="H119" i="1"/>
  <c r="G25" i="3"/>
  <c r="K54" i="3"/>
  <c r="K67" i="3" s="1"/>
  <c r="K226" i="1"/>
  <c r="H122" i="1" l="1"/>
  <c r="H120" i="1"/>
  <c r="G20" i="4"/>
  <c r="L147" i="1"/>
  <c r="L268" i="1"/>
  <c r="M5" i="1"/>
  <c r="J261" i="1"/>
  <c r="I120" i="1"/>
  <c r="I122" i="1"/>
  <c r="L226" i="1"/>
  <c r="K107" i="1"/>
  <c r="J111" i="1"/>
  <c r="K111" i="1"/>
  <c r="K277" i="1"/>
  <c r="K281" i="1"/>
  <c r="K278" i="1"/>
  <c r="K279" i="1"/>
  <c r="K284" i="1"/>
  <c r="L110" i="1" s="1"/>
  <c r="K280" i="1"/>
  <c r="K282" i="1"/>
  <c r="K283" i="1"/>
  <c r="G122" i="1"/>
  <c r="G120" i="1"/>
  <c r="K258" i="1"/>
  <c r="K253" i="1"/>
  <c r="K255" i="1"/>
  <c r="K254" i="1"/>
  <c r="K260" i="1"/>
  <c r="L244" i="1"/>
  <c r="K256" i="1"/>
  <c r="K259" i="1"/>
  <c r="K257" i="1"/>
  <c r="J285" i="1"/>
  <c r="M108" i="1" l="1"/>
  <c r="L108" i="1"/>
  <c r="J121" i="1"/>
  <c r="J119" i="1"/>
  <c r="J118" i="1"/>
  <c r="K261" i="1"/>
  <c r="L106" i="1"/>
  <c r="L105" i="1"/>
  <c r="M226" i="1"/>
  <c r="L284" i="1"/>
  <c r="L280" i="1"/>
  <c r="L279" i="1"/>
  <c r="L282" i="1"/>
  <c r="L278" i="1"/>
  <c r="L281" i="1"/>
  <c r="L283" i="1"/>
  <c r="M109" i="1" s="1"/>
  <c r="L277" i="1"/>
  <c r="L109" i="1"/>
  <c r="M268" i="1"/>
  <c r="N5" i="1"/>
  <c r="M147" i="1"/>
  <c r="K121" i="1"/>
  <c r="K118" i="1"/>
  <c r="K119" i="1"/>
  <c r="L260" i="1"/>
  <c r="L253" i="1"/>
  <c r="L259" i="1"/>
  <c r="L257" i="1"/>
  <c r="L256" i="1"/>
  <c r="L258" i="1"/>
  <c r="L254" i="1"/>
  <c r="M104" i="1" s="1"/>
  <c r="L255" i="1"/>
  <c r="M244" i="1"/>
  <c r="M110" i="1"/>
  <c r="K285" i="1"/>
  <c r="L103" i="1"/>
  <c r="L104" i="1"/>
  <c r="L107" i="1"/>
  <c r="K122" i="1" l="1"/>
  <c r="K120" i="1"/>
  <c r="N147" i="1"/>
  <c r="O5" i="1"/>
  <c r="N268" i="1"/>
  <c r="N226" i="1"/>
  <c r="N106" i="1"/>
  <c r="J120" i="1"/>
  <c r="J122" i="1"/>
  <c r="M105" i="1"/>
  <c r="L261" i="1"/>
  <c r="M106" i="1"/>
  <c r="L111" i="1"/>
  <c r="M255" i="1"/>
  <c r="M257" i="1"/>
  <c r="N244" i="1"/>
  <c r="M256" i="1"/>
  <c r="M260" i="1"/>
  <c r="M253" i="1"/>
  <c r="M259" i="1"/>
  <c r="M254" i="1"/>
  <c r="M258" i="1"/>
  <c r="M284" i="1"/>
  <c r="M281" i="1"/>
  <c r="N107" i="1" s="1"/>
  <c r="M283" i="1"/>
  <c r="M282" i="1"/>
  <c r="M277" i="1"/>
  <c r="M279" i="1"/>
  <c r="N105" i="1" s="1"/>
  <c r="M278" i="1"/>
  <c r="M280" i="1"/>
  <c r="L285" i="1"/>
  <c r="M103" i="1"/>
  <c r="M107" i="1"/>
  <c r="M111" i="1" l="1"/>
  <c r="M285" i="1"/>
  <c r="N103" i="1"/>
  <c r="N110" i="1"/>
  <c r="N280" i="1"/>
  <c r="O106" i="1" s="1"/>
  <c r="N283" i="1"/>
  <c r="N279" i="1"/>
  <c r="N277" i="1"/>
  <c r="N278" i="1"/>
  <c r="N284" i="1"/>
  <c r="N281" i="1"/>
  <c r="N282" i="1"/>
  <c r="N109" i="1"/>
  <c r="N259" i="1"/>
  <c r="N257" i="1"/>
  <c r="N260" i="1"/>
  <c r="N253" i="1"/>
  <c r="O103" i="1" s="1"/>
  <c r="N258" i="1"/>
  <c r="N256" i="1"/>
  <c r="O244" i="1"/>
  <c r="N254" i="1"/>
  <c r="N255" i="1"/>
  <c r="M261" i="1"/>
  <c r="L121" i="1"/>
  <c r="L118" i="1"/>
  <c r="L119" i="1"/>
  <c r="N108" i="1"/>
  <c r="N104" i="1"/>
  <c r="O226" i="1"/>
  <c r="O147" i="1"/>
  <c r="O268" i="1"/>
  <c r="P5" i="1"/>
  <c r="O110" i="1" l="1"/>
  <c r="O109" i="1"/>
  <c r="N111" i="1"/>
  <c r="P268" i="1"/>
  <c r="Q5" i="1"/>
  <c r="P147" i="1"/>
  <c r="O277" i="1"/>
  <c r="O282" i="1"/>
  <c r="O280" i="1"/>
  <c r="O279" i="1"/>
  <c r="O283" i="1"/>
  <c r="P109" i="1" s="1"/>
  <c r="O278" i="1"/>
  <c r="O284" i="1"/>
  <c r="P110" i="1" s="1"/>
  <c r="O281" i="1"/>
  <c r="P226" i="1"/>
  <c r="O108" i="1"/>
  <c r="N285" i="1"/>
  <c r="M121" i="1"/>
  <c r="M118" i="1"/>
  <c r="M119" i="1"/>
  <c r="L122" i="1"/>
  <c r="L120" i="1"/>
  <c r="N261" i="1"/>
  <c r="O104" i="1"/>
  <c r="O111" i="1" s="1"/>
  <c r="O259" i="1"/>
  <c r="O256" i="1"/>
  <c r="O260" i="1"/>
  <c r="O255" i="1"/>
  <c r="O254" i="1"/>
  <c r="O258" i="1"/>
  <c r="O253" i="1"/>
  <c r="O257" i="1"/>
  <c r="P244" i="1"/>
  <c r="O107" i="1"/>
  <c r="O105" i="1"/>
  <c r="O121" i="1" l="1"/>
  <c r="O119" i="1"/>
  <c r="O118" i="1"/>
  <c r="P106" i="1"/>
  <c r="O261" i="1"/>
  <c r="M120" i="1"/>
  <c r="M122" i="1"/>
  <c r="P104" i="1"/>
  <c r="P108" i="1"/>
  <c r="N121" i="1"/>
  <c r="N119" i="1"/>
  <c r="N118" i="1"/>
  <c r="Q226" i="1"/>
  <c r="O285" i="1"/>
  <c r="P103" i="1"/>
  <c r="Q147" i="1"/>
  <c r="R5" i="1"/>
  <c r="Q268" i="1"/>
  <c r="P258" i="1"/>
  <c r="P256" i="1"/>
  <c r="Q244" i="1"/>
  <c r="P259" i="1"/>
  <c r="P255" i="1"/>
  <c r="P254" i="1"/>
  <c r="P253" i="1"/>
  <c r="P260" i="1"/>
  <c r="P257" i="1"/>
  <c r="P107" i="1"/>
  <c r="P105" i="1"/>
  <c r="P283" i="1"/>
  <c r="Q109" i="1" s="1"/>
  <c r="P277" i="1"/>
  <c r="P278" i="1"/>
  <c r="P281" i="1"/>
  <c r="Q107" i="1" s="1"/>
  <c r="P279" i="1"/>
  <c r="Q105" i="1" s="1"/>
  <c r="P280" i="1"/>
  <c r="P282" i="1"/>
  <c r="Q108" i="1" s="1"/>
  <c r="P284" i="1"/>
  <c r="Q281" i="1" l="1"/>
  <c r="Q277" i="1"/>
  <c r="Q278" i="1"/>
  <c r="Q282" i="1"/>
  <c r="Q279" i="1"/>
  <c r="R105" i="1" s="1"/>
  <c r="Q284" i="1"/>
  <c r="Q280" i="1"/>
  <c r="Q283" i="1"/>
  <c r="Q104" i="1"/>
  <c r="N122" i="1"/>
  <c r="N120" i="1"/>
  <c r="Q106" i="1"/>
  <c r="P285" i="1"/>
  <c r="Q103" i="1"/>
  <c r="P261" i="1"/>
  <c r="Q257" i="1"/>
  <c r="Q255" i="1"/>
  <c r="Q253" i="1"/>
  <c r="R244" i="1"/>
  <c r="Q254" i="1"/>
  <c r="Q258" i="1"/>
  <c r="Q260" i="1"/>
  <c r="Q259" i="1"/>
  <c r="Q256" i="1"/>
  <c r="P111" i="1"/>
  <c r="R226" i="1"/>
  <c r="O122" i="1"/>
  <c r="O120" i="1"/>
  <c r="Q110" i="1"/>
  <c r="R268" i="1"/>
  <c r="S5" i="1"/>
  <c r="R147" i="1"/>
  <c r="R284" i="1" l="1"/>
  <c r="S110" i="1" s="1"/>
  <c r="R280" i="1"/>
  <c r="R277" i="1"/>
  <c r="R279" i="1"/>
  <c r="R281" i="1"/>
  <c r="S107" i="1" s="1"/>
  <c r="R282" i="1"/>
  <c r="R278" i="1"/>
  <c r="S104" i="1" s="1"/>
  <c r="R283" i="1"/>
  <c r="S226" i="1"/>
  <c r="Q261" i="1"/>
  <c r="Q111" i="1"/>
  <c r="R106" i="1"/>
  <c r="R104" i="1"/>
  <c r="S268" i="1"/>
  <c r="S147" i="1"/>
  <c r="T5" i="1"/>
  <c r="P121" i="1"/>
  <c r="P118" i="1"/>
  <c r="P119" i="1"/>
  <c r="R110" i="1"/>
  <c r="Q285" i="1"/>
  <c r="R103" i="1"/>
  <c r="R107" i="1"/>
  <c r="R259" i="1"/>
  <c r="R257" i="1"/>
  <c r="S244" i="1"/>
  <c r="R253" i="1"/>
  <c r="R256" i="1"/>
  <c r="R254" i="1"/>
  <c r="R260" i="1"/>
  <c r="R258" i="1"/>
  <c r="R255" i="1"/>
  <c r="R109" i="1"/>
  <c r="R108" i="1"/>
  <c r="Q121" i="1" l="1"/>
  <c r="Q118" i="1"/>
  <c r="Q119" i="1"/>
  <c r="T226" i="1"/>
  <c r="R261" i="1"/>
  <c r="S254" i="1"/>
  <c r="T254" i="1" s="1"/>
  <c r="V254" i="1" s="1"/>
  <c r="S256" i="1"/>
  <c r="T256" i="1" s="1"/>
  <c r="V256" i="1" s="1"/>
  <c r="S258" i="1"/>
  <c r="T258" i="1" s="1"/>
  <c r="V258" i="1" s="1"/>
  <c r="S259" i="1"/>
  <c r="T259" i="1" s="1"/>
  <c r="V259" i="1" s="1"/>
  <c r="T244" i="1"/>
  <c r="S257" i="1"/>
  <c r="T257" i="1" s="1"/>
  <c r="V257" i="1" s="1"/>
  <c r="S255" i="1"/>
  <c r="T255" i="1" s="1"/>
  <c r="V255" i="1" s="1"/>
  <c r="S253" i="1"/>
  <c r="S260" i="1"/>
  <c r="T260" i="1" s="1"/>
  <c r="V260" i="1" s="1"/>
  <c r="R111" i="1"/>
  <c r="T268" i="1"/>
  <c r="T147" i="1"/>
  <c r="R285" i="1"/>
  <c r="S103" i="1"/>
  <c r="S111" i="1" s="1"/>
  <c r="S108" i="1"/>
  <c r="S106" i="1"/>
  <c r="P122" i="1"/>
  <c r="P120" i="1"/>
  <c r="S282" i="1"/>
  <c r="T108" i="1" s="1"/>
  <c r="V108" i="1" s="1"/>
  <c r="S279" i="1"/>
  <c r="T105" i="1" s="1"/>
  <c r="S278" i="1"/>
  <c r="T104" i="1" s="1"/>
  <c r="V104" i="1" s="1"/>
  <c r="S283" i="1"/>
  <c r="S280" i="1"/>
  <c r="T106" i="1" s="1"/>
  <c r="V106" i="1" s="1"/>
  <c r="S281" i="1"/>
  <c r="T107" i="1" s="1"/>
  <c r="V107" i="1" s="1"/>
  <c r="S277" i="1"/>
  <c r="S284" i="1"/>
  <c r="S109" i="1"/>
  <c r="S105" i="1"/>
  <c r="S121" i="1" l="1"/>
  <c r="S119" i="1"/>
  <c r="S118" i="1"/>
  <c r="T238" i="1"/>
  <c r="T239" i="1"/>
  <c r="V105" i="1"/>
  <c r="F140" i="1"/>
  <c r="F124" i="1"/>
  <c r="F238" i="1"/>
  <c r="F239" i="1"/>
  <c r="G124" i="1"/>
  <c r="G126" i="1" s="1"/>
  <c r="G140" i="1"/>
  <c r="G142" i="1" s="1"/>
  <c r="H140" i="1"/>
  <c r="H142" i="1" s="1"/>
  <c r="G238" i="1"/>
  <c r="H124" i="1"/>
  <c r="H126" i="1" s="1"/>
  <c r="G239" i="1"/>
  <c r="H238" i="1"/>
  <c r="H239" i="1"/>
  <c r="I140" i="1"/>
  <c r="I142" i="1" s="1"/>
  <c r="I124" i="1"/>
  <c r="I126" i="1" s="1"/>
  <c r="J140" i="1"/>
  <c r="J142" i="1" s="1"/>
  <c r="I239" i="1"/>
  <c r="I238" i="1"/>
  <c r="J124" i="1"/>
  <c r="J126" i="1" s="1"/>
  <c r="K124" i="1"/>
  <c r="K126" i="1" s="1"/>
  <c r="J238" i="1"/>
  <c r="K140" i="1"/>
  <c r="K142" i="1" s="1"/>
  <c r="J239" i="1"/>
  <c r="L140" i="1"/>
  <c r="L142" i="1" s="1"/>
  <c r="L124" i="1"/>
  <c r="L126" i="1" s="1"/>
  <c r="K239" i="1"/>
  <c r="K238" i="1"/>
  <c r="L239" i="1"/>
  <c r="M124" i="1"/>
  <c r="M126" i="1" s="1"/>
  <c r="L238" i="1"/>
  <c r="M140" i="1"/>
  <c r="M142" i="1" s="1"/>
  <c r="M238" i="1"/>
  <c r="N140" i="1"/>
  <c r="N142" i="1" s="1"/>
  <c r="M239" i="1"/>
  <c r="N124" i="1"/>
  <c r="N126" i="1" s="1"/>
  <c r="O140" i="1"/>
  <c r="O142" i="1" s="1"/>
  <c r="N238" i="1"/>
  <c r="N239" i="1"/>
  <c r="O124" i="1"/>
  <c r="O126" i="1" s="1"/>
  <c r="P140" i="1"/>
  <c r="P142" i="1" s="1"/>
  <c r="O238" i="1"/>
  <c r="P124" i="1"/>
  <c r="P126" i="1" s="1"/>
  <c r="O239" i="1"/>
  <c r="P239" i="1"/>
  <c r="Q124" i="1"/>
  <c r="P238" i="1"/>
  <c r="Q140" i="1"/>
  <c r="Q142" i="1" s="1"/>
  <c r="Q238" i="1"/>
  <c r="R124" i="1"/>
  <c r="Q239" i="1"/>
  <c r="R140" i="1"/>
  <c r="R142" i="1" s="1"/>
  <c r="S140" i="1"/>
  <c r="S142" i="1" s="1"/>
  <c r="R239" i="1"/>
  <c r="R238" i="1"/>
  <c r="U238" i="1" s="1"/>
  <c r="S261" i="1"/>
  <c r="T253" i="1"/>
  <c r="Q120" i="1"/>
  <c r="Q122" i="1"/>
  <c r="S285" i="1"/>
  <c r="T103" i="1"/>
  <c r="T282" i="1"/>
  <c r="V282" i="1" s="1"/>
  <c r="T281" i="1"/>
  <c r="V281" i="1" s="1"/>
  <c r="T283" i="1"/>
  <c r="V283" i="1" s="1"/>
  <c r="T279" i="1"/>
  <c r="V279" i="1" s="1"/>
  <c r="T280" i="1"/>
  <c r="V280" i="1" s="1"/>
  <c r="T278" i="1"/>
  <c r="V278" i="1" s="1"/>
  <c r="T284" i="1"/>
  <c r="V284" i="1" s="1"/>
  <c r="T277" i="1"/>
  <c r="S238" i="1"/>
  <c r="T110" i="1"/>
  <c r="V110" i="1" s="1"/>
  <c r="T109" i="1"/>
  <c r="V109" i="1" s="1"/>
  <c r="T140" i="1"/>
  <c r="T142" i="1" s="1"/>
  <c r="R121" i="1"/>
  <c r="R119" i="1"/>
  <c r="R118" i="1"/>
  <c r="S239" i="1"/>
  <c r="Q126" i="1" l="1"/>
  <c r="Q113" i="1" s="1"/>
  <c r="S241" i="1"/>
  <c r="S287" i="1" s="1"/>
  <c r="S289" i="1" s="1"/>
  <c r="R241" i="1"/>
  <c r="R287" i="1" s="1"/>
  <c r="R289" i="1" s="1"/>
  <c r="P113" i="1"/>
  <c r="K241" i="1"/>
  <c r="K287" i="1" s="1"/>
  <c r="K289" i="1" s="1"/>
  <c r="H113" i="1"/>
  <c r="G113" i="1"/>
  <c r="P241" i="1"/>
  <c r="P263" i="1" s="1"/>
  <c r="H241" i="1"/>
  <c r="H287" i="1" s="1"/>
  <c r="T241" i="1"/>
  <c r="T287" i="1" s="1"/>
  <c r="T289" i="1" s="1"/>
  <c r="T285" i="1"/>
  <c r="V277" i="1"/>
  <c r="V285" i="1" s="1"/>
  <c r="T111" i="1"/>
  <c r="V103" i="1"/>
  <c r="V111" i="1" s="1"/>
  <c r="T261" i="1"/>
  <c r="V253" i="1"/>
  <c r="V261" i="1" s="1"/>
  <c r="H9" i="4" s="1"/>
  <c r="M113" i="1"/>
  <c r="L113" i="1"/>
  <c r="I241" i="1"/>
  <c r="F241" i="1"/>
  <c r="V239" i="1"/>
  <c r="S122" i="1"/>
  <c r="S120" i="1"/>
  <c r="R122" i="1"/>
  <c r="R126" i="1" s="1"/>
  <c r="R113" i="1" s="1"/>
  <c r="R120" i="1"/>
  <c r="F142" i="1"/>
  <c r="V140" i="1"/>
  <c r="O241" i="1"/>
  <c r="O113" i="1"/>
  <c r="N113" i="1"/>
  <c r="L241" i="1"/>
  <c r="K113" i="1"/>
  <c r="V238" i="1"/>
  <c r="Q241" i="1"/>
  <c r="N241" i="1"/>
  <c r="M241" i="1"/>
  <c r="J241" i="1"/>
  <c r="J113" i="1"/>
  <c r="I113" i="1"/>
  <c r="G241" i="1"/>
  <c r="F126" i="1"/>
  <c r="S263" i="1" l="1"/>
  <c r="K263" i="1"/>
  <c r="P287" i="1"/>
  <c r="P289" i="1" s="1"/>
  <c r="H263" i="1"/>
  <c r="F10" i="4" s="1"/>
  <c r="R263" i="1"/>
  <c r="T263" i="1"/>
  <c r="F21" i="4"/>
  <c r="F24" i="4" s="1"/>
  <c r="H289" i="1"/>
  <c r="M263" i="1"/>
  <c r="M287" i="1"/>
  <c r="M289" i="1" s="1"/>
  <c r="N287" i="1"/>
  <c r="N289" i="1" s="1"/>
  <c r="N263" i="1"/>
  <c r="O263" i="1"/>
  <c r="O287" i="1"/>
  <c r="O289" i="1" s="1"/>
  <c r="F263" i="1"/>
  <c r="F287" i="1"/>
  <c r="V241" i="1"/>
  <c r="H20" i="4"/>
  <c r="J263" i="1"/>
  <c r="J287" i="1"/>
  <c r="J289" i="1" s="1"/>
  <c r="I25" i="3"/>
  <c r="K25" i="3" s="1"/>
  <c r="F25" i="2"/>
  <c r="G25" i="2" s="1"/>
  <c r="G25" i="6" s="1"/>
  <c r="F25" i="6"/>
  <c r="G287" i="1"/>
  <c r="G263" i="1"/>
  <c r="E10" i="4" s="1"/>
  <c r="T119" i="1"/>
  <c r="T121" i="1"/>
  <c r="V121" i="1" s="1"/>
  <c r="T118" i="1"/>
  <c r="F113" i="1"/>
  <c r="Q287" i="1"/>
  <c r="Q289" i="1" s="1"/>
  <c r="Q263" i="1"/>
  <c r="L287" i="1"/>
  <c r="L289" i="1" s="1"/>
  <c r="L263" i="1"/>
  <c r="E36" i="6"/>
  <c r="V142" i="1"/>
  <c r="E36" i="2"/>
  <c r="E38" i="2" s="1"/>
  <c r="E40" i="2" s="1"/>
  <c r="B36" i="2"/>
  <c r="F36" i="6"/>
  <c r="I287" i="1"/>
  <c r="I263" i="1"/>
  <c r="G10" i="4" s="1"/>
  <c r="F36" i="2" l="1"/>
  <c r="F38" i="2" s="1"/>
  <c r="B36" i="3"/>
  <c r="B36" i="6"/>
  <c r="V287" i="1"/>
  <c r="D21" i="4"/>
  <c r="D24" i="4" s="1"/>
  <c r="F289" i="1"/>
  <c r="F112" i="1" s="1"/>
  <c r="G21" i="4"/>
  <c r="G24" i="4" s="1"/>
  <c r="I289" i="1"/>
  <c r="V118" i="1"/>
  <c r="E21" i="4"/>
  <c r="E24" i="4" s="1"/>
  <c r="G289" i="1"/>
  <c r="T120" i="1"/>
  <c r="V120" i="1" s="1"/>
  <c r="T122" i="1"/>
  <c r="V122" i="1" s="1"/>
  <c r="V119" i="1"/>
  <c r="V263" i="1"/>
  <c r="D10" i="4"/>
  <c r="G36" i="2" l="1"/>
  <c r="S124" i="1"/>
  <c r="S126" i="1" s="1"/>
  <c r="S113" i="1" s="1"/>
  <c r="T124" i="1"/>
  <c r="H21" i="4"/>
  <c r="H24" i="4" s="1"/>
  <c r="V289" i="1"/>
  <c r="H10" i="4"/>
  <c r="E26" i="3"/>
  <c r="E27" i="3" s="1"/>
  <c r="F123" i="1"/>
  <c r="F127" i="1" s="1"/>
  <c r="F114" i="1"/>
  <c r="E36" i="3"/>
  <c r="E38" i="3" s="1"/>
  <c r="D36" i="3"/>
  <c r="D38" i="3" s="1"/>
  <c r="D40" i="3" s="1"/>
  <c r="G36" i="3"/>
  <c r="G38" i="3" s="1"/>
  <c r="F36" i="3"/>
  <c r="F38" i="3" s="1"/>
  <c r="H36" i="3"/>
  <c r="H38" i="3" s="1"/>
  <c r="G38" i="2" l="1"/>
  <c r="G36" i="6"/>
  <c r="G38" i="6" s="1"/>
  <c r="I36" i="3"/>
  <c r="I38" i="3" s="1"/>
  <c r="V124" i="1"/>
  <c r="E29" i="3"/>
  <c r="E31" i="3" s="1"/>
  <c r="E40" i="3" s="1"/>
  <c r="F135" i="1"/>
  <c r="F144" i="1" s="1"/>
  <c r="T126" i="1"/>
  <c r="K36" i="3" l="1"/>
  <c r="K38" i="3" s="1"/>
  <c r="F220" i="1"/>
  <c r="F222" i="1" s="1"/>
  <c r="F246" i="1"/>
  <c r="T113" i="1"/>
  <c r="V113" i="1" s="1"/>
  <c r="V126" i="1"/>
  <c r="F265" i="1" l="1"/>
  <c r="F291" i="1" s="1"/>
  <c r="F293" i="1" s="1"/>
  <c r="G112" i="1" s="1"/>
  <c r="D7" i="4"/>
  <c r="D13" i="4" s="1"/>
  <c r="D26" i="4" s="1"/>
  <c r="D28" i="4" s="1"/>
  <c r="F26" i="3" l="1"/>
  <c r="F27" i="3" s="1"/>
  <c r="G114" i="1"/>
  <c r="G123" i="1"/>
  <c r="G127" i="1" s="1"/>
  <c r="F29" i="3" l="1"/>
  <c r="F31" i="3" s="1"/>
  <c r="F40" i="3" s="1"/>
  <c r="G135" i="1"/>
  <c r="G144" i="1" s="1"/>
  <c r="G246" i="1" l="1"/>
  <c r="G220" i="1"/>
  <c r="G222" i="1" s="1"/>
  <c r="E7" i="4" l="1"/>
  <c r="E13" i="4" s="1"/>
  <c r="E26" i="4" s="1"/>
  <c r="E28" i="4" s="1"/>
  <c r="G265" i="1"/>
  <c r="G291" i="1" s="1"/>
  <c r="G293" i="1" s="1"/>
  <c r="H112" i="1" s="1"/>
  <c r="G26" i="3" l="1"/>
  <c r="G27" i="3" s="1"/>
  <c r="H123" i="1"/>
  <c r="H127" i="1" s="1"/>
  <c r="H114" i="1"/>
  <c r="G29" i="3" l="1"/>
  <c r="G31" i="3" s="1"/>
  <c r="G40" i="3" s="1"/>
  <c r="H135" i="1"/>
  <c r="H144" i="1" s="1"/>
  <c r="H246" i="1" l="1"/>
  <c r="H220" i="1"/>
  <c r="H222" i="1" s="1"/>
  <c r="H265" i="1" l="1"/>
  <c r="H291" i="1" s="1"/>
  <c r="H293" i="1" s="1"/>
  <c r="I112" i="1" s="1"/>
  <c r="F7" i="4"/>
  <c r="F13" i="4" s="1"/>
  <c r="F26" i="4" s="1"/>
  <c r="F28" i="4" s="1"/>
  <c r="I123" i="1" l="1"/>
  <c r="I127" i="1" s="1"/>
  <c r="I114" i="1"/>
  <c r="H26" i="3"/>
  <c r="H27" i="3" s="1"/>
  <c r="H29" i="3" l="1"/>
  <c r="H31" i="3" s="1"/>
  <c r="H40" i="3" s="1"/>
  <c r="I135" i="1"/>
  <c r="I144" i="1" s="1"/>
  <c r="I220" i="1" l="1"/>
  <c r="I222" i="1" s="1"/>
  <c r="I246" i="1"/>
  <c r="I265" i="1" l="1"/>
  <c r="I291" i="1" s="1"/>
  <c r="I293" i="1" s="1"/>
  <c r="J112" i="1" s="1"/>
  <c r="G7" i="4"/>
  <c r="G13" i="4" s="1"/>
  <c r="G26" i="4" s="1"/>
  <c r="G28" i="4" s="1"/>
  <c r="J123" i="1" l="1"/>
  <c r="J127" i="1" s="1"/>
  <c r="J135" i="1" s="1"/>
  <c r="J114" i="1"/>
  <c r="J144" i="1" l="1"/>
  <c r="J220" i="1" l="1"/>
  <c r="J222" i="1" s="1"/>
  <c r="J246" i="1"/>
  <c r="J265" i="1" s="1"/>
  <c r="J291" i="1" s="1"/>
  <c r="J293" i="1" s="1"/>
  <c r="K112" i="1" s="1"/>
  <c r="K114" i="1" l="1"/>
  <c r="K123" i="1"/>
  <c r="K127" i="1" s="1"/>
  <c r="K135" i="1" s="1"/>
  <c r="K144" i="1" l="1"/>
  <c r="K246" i="1" s="1"/>
  <c r="K265" i="1" s="1"/>
  <c r="K291" i="1" s="1"/>
  <c r="K293" i="1" s="1"/>
  <c r="L112" i="1" s="1"/>
  <c r="K220" i="1" l="1"/>
  <c r="K222" i="1" s="1"/>
  <c r="L114" i="1"/>
  <c r="L123" i="1"/>
  <c r="L127" i="1" s="1"/>
  <c r="L135" i="1" s="1"/>
  <c r="L144" i="1" l="1"/>
  <c r="L246" i="1" s="1"/>
  <c r="L265" i="1" s="1"/>
  <c r="L291" i="1" s="1"/>
  <c r="L293" i="1" s="1"/>
  <c r="M112" i="1" s="1"/>
  <c r="L220" i="1" l="1"/>
  <c r="L222" i="1" s="1"/>
  <c r="M114" i="1"/>
  <c r="M123" i="1"/>
  <c r="M127" i="1" s="1"/>
  <c r="M135" i="1" s="1"/>
  <c r="M144" i="1" l="1"/>
  <c r="M246" i="1" s="1"/>
  <c r="M265" i="1" s="1"/>
  <c r="M291" i="1" s="1"/>
  <c r="M293" i="1" s="1"/>
  <c r="N112" i="1" s="1"/>
  <c r="M220" i="1" l="1"/>
  <c r="M222" i="1" s="1"/>
  <c r="N123" i="1"/>
  <c r="N127" i="1" s="1"/>
  <c r="N135" i="1" s="1"/>
  <c r="N114" i="1"/>
  <c r="N144" i="1" l="1"/>
  <c r="N220" i="1" l="1"/>
  <c r="N222" i="1" s="1"/>
  <c r="N246" i="1"/>
  <c r="N265" i="1" s="1"/>
  <c r="N291" i="1" s="1"/>
  <c r="N293" i="1" s="1"/>
  <c r="O112" i="1" s="1"/>
  <c r="O114" i="1" l="1"/>
  <c r="O123" i="1"/>
  <c r="O127" i="1" s="1"/>
  <c r="O135" i="1" s="1"/>
  <c r="O144" i="1" l="1"/>
  <c r="O220" i="1" s="1"/>
  <c r="O222" i="1" s="1"/>
  <c r="O246" i="1" l="1"/>
  <c r="O265" i="1" s="1"/>
  <c r="O291" i="1" s="1"/>
  <c r="O293" i="1" s="1"/>
  <c r="P112" i="1" s="1"/>
  <c r="P114" i="1" s="1"/>
  <c r="P123" i="1" l="1"/>
  <c r="P127" i="1" s="1"/>
  <c r="P135" i="1" s="1"/>
  <c r="P144" i="1" s="1"/>
  <c r="P246" i="1" s="1"/>
  <c r="P265" i="1" s="1"/>
  <c r="P291" i="1" s="1"/>
  <c r="P293" i="1" s="1"/>
  <c r="Q112" i="1" s="1"/>
  <c r="Q114" i="1" s="1"/>
  <c r="P220" i="1" l="1"/>
  <c r="P222" i="1" s="1"/>
  <c r="Q123" i="1"/>
  <c r="Q127" i="1" s="1"/>
  <c r="Q135" i="1" s="1"/>
  <c r="Q144" i="1" s="1"/>
  <c r="Q246" i="1" s="1"/>
  <c r="Q265" i="1" s="1"/>
  <c r="Q291" i="1" s="1"/>
  <c r="Q293" i="1" s="1"/>
  <c r="Q220" i="1" l="1"/>
  <c r="Q222" i="1" s="1"/>
  <c r="R112" i="1"/>
  <c r="R114" i="1" l="1"/>
  <c r="R123" i="1"/>
  <c r="R127" i="1" s="1"/>
  <c r="R135" i="1" s="1"/>
  <c r="R144" i="1" l="1"/>
  <c r="R220" i="1" s="1"/>
  <c r="R222" i="1" s="1"/>
  <c r="R246" i="1" l="1"/>
  <c r="R265" i="1" s="1"/>
  <c r="R291" i="1" s="1"/>
  <c r="R293" i="1" s="1"/>
  <c r="S112" i="1" s="1"/>
  <c r="S114" i="1" l="1"/>
  <c r="S123" i="1"/>
  <c r="S127" i="1" s="1"/>
  <c r="S135" i="1" s="1"/>
  <c r="S144" i="1" l="1"/>
  <c r="S220" i="1" s="1"/>
  <c r="S222" i="1" s="1"/>
  <c r="S246" i="1" l="1"/>
  <c r="S265" i="1" s="1"/>
  <c r="S291" i="1" s="1"/>
  <c r="S293" i="1" s="1"/>
  <c r="T112" i="1"/>
  <c r="T114" i="1" l="1"/>
  <c r="T123" i="1"/>
  <c r="V112" i="1"/>
  <c r="T127" i="1" l="1"/>
  <c r="T135" i="1" s="1"/>
  <c r="T144" i="1" s="1"/>
  <c r="V123" i="1"/>
  <c r="V127" i="1" s="1"/>
  <c r="I26" i="3"/>
  <c r="F26" i="6"/>
  <c r="F27" i="6" s="1"/>
  <c r="V114" i="1"/>
  <c r="F26" i="2"/>
  <c r="G26" i="2" l="1"/>
  <c r="F27" i="2"/>
  <c r="F29" i="6"/>
  <c r="F31" i="6" s="1"/>
  <c r="F40" i="6" s="1"/>
  <c r="I29" i="3"/>
  <c r="F29" i="2"/>
  <c r="V135" i="1"/>
  <c r="V144" i="1" s="1"/>
  <c r="I27" i="3"/>
  <c r="K26" i="3"/>
  <c r="K27" i="3" s="1"/>
  <c r="T220" i="1"/>
  <c r="T222" i="1" s="1"/>
  <c r="T246" i="1"/>
  <c r="T265" i="1" l="1"/>
  <c r="T291" i="1" s="1"/>
  <c r="T293" i="1" s="1"/>
  <c r="V246" i="1"/>
  <c r="G29" i="2"/>
  <c r="F31" i="2"/>
  <c r="F40" i="2" s="1"/>
  <c r="G26" i="6"/>
  <c r="G27" i="6" s="1"/>
  <c r="G27" i="2"/>
  <c r="I31" i="3"/>
  <c r="I40" i="3" s="1"/>
  <c r="K29" i="3"/>
  <c r="K31" i="3" s="1"/>
  <c r="K40" i="3" s="1"/>
  <c r="H7" i="4" l="1"/>
  <c r="H13" i="4" s="1"/>
  <c r="H26" i="4" s="1"/>
  <c r="H28" i="4" s="1"/>
  <c r="V265" i="1"/>
  <c r="G29" i="6"/>
  <c r="G31" i="6" s="1"/>
  <c r="G40" i="6" s="1"/>
  <c r="G31" i="2"/>
  <c r="G40" i="2" s="1"/>
</calcChain>
</file>

<file path=xl/sharedStrings.xml><?xml version="1.0" encoding="utf-8"?>
<sst xmlns="http://schemas.openxmlformats.org/spreadsheetml/2006/main" count="578" uniqueCount="260">
  <si>
    <t>tva</t>
  </si>
  <si>
    <t xml:space="preserve"> </t>
  </si>
  <si>
    <t>Réalisé</t>
  </si>
  <si>
    <t>DEPENSES</t>
  </si>
  <si>
    <t>au 31/12</t>
  </si>
  <si>
    <t>au</t>
  </si>
  <si>
    <t>TOTAL</t>
  </si>
  <si>
    <t>1/FONCIER</t>
  </si>
  <si>
    <t>O</t>
  </si>
  <si>
    <t xml:space="preserve">Acquisitions, frais d'actes </t>
  </si>
  <si>
    <t>N</t>
  </si>
  <si>
    <t>Prestations foncières</t>
  </si>
  <si>
    <t>Impôts fonciers</t>
  </si>
  <si>
    <t>TOTAL 1</t>
  </si>
  <si>
    <t>2/ETUDES</t>
  </si>
  <si>
    <t>Géomètre</t>
  </si>
  <si>
    <t>Urbaniste</t>
  </si>
  <si>
    <t>Coordination SODEMEL</t>
  </si>
  <si>
    <t>sous total</t>
  </si>
  <si>
    <t>Divers &amp; Imprévus</t>
  </si>
  <si>
    <t>TOTAL 2</t>
  </si>
  <si>
    <t>3/TRAVAUX</t>
  </si>
  <si>
    <t>Travaux extérieurs</t>
  </si>
  <si>
    <t>(suite)</t>
  </si>
  <si>
    <t>Espaces verts</t>
  </si>
  <si>
    <t>maîtrise d'œuvre plantations</t>
  </si>
  <si>
    <t>Divers &amp; imprévus</t>
  </si>
  <si>
    <t>TOTAL 3</t>
  </si>
  <si>
    <t>4/FRAIS FINANCIERS</t>
  </si>
  <si>
    <t>Sur emprunts</t>
  </si>
  <si>
    <t>Différé :</t>
  </si>
  <si>
    <t>Sur court terme</t>
  </si>
  <si>
    <t>TOTAL 4</t>
  </si>
  <si>
    <t>5/FRAIS DE SOCIETE</t>
  </si>
  <si>
    <t>taux sur acquisitions</t>
  </si>
  <si>
    <t>taux sur dépenses HT</t>
  </si>
  <si>
    <t>taux sur dépenses TTC</t>
  </si>
  <si>
    <t>taux sur 1/2(dép+cess)HT</t>
  </si>
  <si>
    <t>taux sur 1/2(dép+cess)TTC</t>
  </si>
  <si>
    <t>forfaits autres</t>
  </si>
  <si>
    <t>TOTAL 5</t>
  </si>
  <si>
    <t>6/AUTRES FRAIS</t>
  </si>
  <si>
    <t>Frais de gestion</t>
  </si>
  <si>
    <t>Fonds de concours</t>
  </si>
  <si>
    <t>Excédent</t>
  </si>
  <si>
    <t>TOTAL 6</t>
  </si>
  <si>
    <t>DEPENSES TOTALES</t>
  </si>
  <si>
    <t>RECETTES</t>
  </si>
  <si>
    <t>A/CESSIONS</t>
  </si>
  <si>
    <t>Actes signés</t>
  </si>
  <si>
    <t>Compromis en cours</t>
  </si>
  <si>
    <t>Reste à vendre</t>
  </si>
  <si>
    <t>Surface cessible</t>
  </si>
  <si>
    <t>(m²)</t>
  </si>
  <si>
    <t>Locatifs</t>
  </si>
  <si>
    <t>Equipements publics</t>
  </si>
  <si>
    <t>droits</t>
  </si>
  <si>
    <t>Autres</t>
  </si>
  <si>
    <t>TOTAL A</t>
  </si>
  <si>
    <t>CRD</t>
  </si>
  <si>
    <t>DDR</t>
  </si>
  <si>
    <t>FEDER</t>
  </si>
  <si>
    <t>TOTAL B</t>
  </si>
  <si>
    <t>C/AUTRES PRODUITS</t>
  </si>
  <si>
    <t>TOTAL C</t>
  </si>
  <si>
    <t>sur réseau EU</t>
  </si>
  <si>
    <t>équilibre</t>
  </si>
  <si>
    <t>TOTAL D</t>
  </si>
  <si>
    <t>TOTAL RECETTES</t>
  </si>
  <si>
    <t>SOLDE ANNUEL</t>
  </si>
  <si>
    <t>SOLDE ANNUEL CUMULE</t>
  </si>
  <si>
    <t>DECAISSEMENTS</t>
  </si>
  <si>
    <t>Total Dépenses d'investissement</t>
  </si>
  <si>
    <t>Remboursements d'avances</t>
  </si>
  <si>
    <t>Remboursements d'emprunts</t>
  </si>
  <si>
    <t>TOTAL DECAISSEMENTS</t>
  </si>
  <si>
    <t>ENCAISSEMENTS</t>
  </si>
  <si>
    <t>Total Recettes d'investissement</t>
  </si>
  <si>
    <t>Encaissements d'avances</t>
  </si>
  <si>
    <t>avance opération N°</t>
  </si>
  <si>
    <t>avance communale</t>
  </si>
  <si>
    <t>Encaissements d'emprunts</t>
  </si>
  <si>
    <t>TOTAL ENCAISSEMENTS</t>
  </si>
  <si>
    <t>TRESORERIE ANNUELLE</t>
  </si>
  <si>
    <t xml:space="preserve">TRESORERIE CUMULEE </t>
  </si>
  <si>
    <t xml:space="preserve">EMPRUNTS : </t>
  </si>
  <si>
    <t>Date*</t>
  </si>
  <si>
    <t>Montant**</t>
  </si>
  <si>
    <t>taux (%)</t>
  </si>
  <si>
    <t>taux révisé</t>
  </si>
  <si>
    <t>Durée***</t>
  </si>
  <si>
    <t>Différé***</t>
  </si>
  <si>
    <t>*</t>
  </si>
  <si>
    <t>emprunt 1</t>
  </si>
  <si>
    <t>**</t>
  </si>
  <si>
    <t>emprunt 2</t>
  </si>
  <si>
    <t>***</t>
  </si>
  <si>
    <t>nombre d'années</t>
  </si>
  <si>
    <t>emprunt 3</t>
  </si>
  <si>
    <t>emprunt 4</t>
  </si>
  <si>
    <t xml:space="preserve">FRAIS FINANCIERS COURT TERME : </t>
  </si>
  <si>
    <t xml:space="preserve">Valeur minimale annuelle </t>
  </si>
  <si>
    <t>Coefficient correcteur année en cours</t>
  </si>
  <si>
    <t>Dernière année de l'opération</t>
  </si>
  <si>
    <t>DONNEES TVA SUR MARGE :</t>
  </si>
  <si>
    <t>Surface de l'opération (à renseigner obligatoirement)</t>
  </si>
  <si>
    <t>m²</t>
  </si>
  <si>
    <t>Prix moyen d'acquisition</t>
  </si>
  <si>
    <t>Présent</t>
  </si>
  <si>
    <t>Dernier</t>
  </si>
  <si>
    <t>Réalisé au</t>
  </si>
  <si>
    <t>Reste à</t>
  </si>
  <si>
    <t>bilan arrété au</t>
  </si>
  <si>
    <t>bilan présenté</t>
  </si>
  <si>
    <t>réaliser</t>
  </si>
  <si>
    <t>Acquisitions, frais d'actes</t>
  </si>
  <si>
    <t>Impôts, autres charges foncières</t>
  </si>
  <si>
    <t>Commercialisation</t>
  </si>
  <si>
    <t>TOTAL DEPENSES</t>
  </si>
  <si>
    <t xml:space="preserve">    .Ventes</t>
  </si>
  <si>
    <t>Prévisions</t>
  </si>
  <si>
    <t xml:space="preserve">Prévisions </t>
  </si>
  <si>
    <t>années</t>
  </si>
  <si>
    <t>bilan au</t>
  </si>
  <si>
    <t>suivantes</t>
  </si>
  <si>
    <t xml:space="preserve"> TOTAL DEPENSES</t>
  </si>
  <si>
    <t>Maîtrise d'œuvre/SPS</t>
  </si>
  <si>
    <t>Entretien</t>
  </si>
  <si>
    <t>DEMARRAGE OPERATIONNEL</t>
  </si>
  <si>
    <t>Année</t>
  </si>
  <si>
    <t xml:space="preserve">DETAIL BILAN FINANCIER PREVISIONNEL REVISE AU </t>
  </si>
  <si>
    <t>Voirie, assainissement, eau potable</t>
  </si>
  <si>
    <t>Electricité, téléphone, éclairage public</t>
  </si>
  <si>
    <t>démolitions</t>
  </si>
  <si>
    <t>Etudes de faisabilité</t>
  </si>
  <si>
    <t>Etudes de réalisation</t>
  </si>
  <si>
    <t>acquisitions</t>
  </si>
  <si>
    <t>Dépôts de pièces</t>
  </si>
  <si>
    <t>eau potable HM</t>
  </si>
  <si>
    <t>entretien</t>
  </si>
  <si>
    <t>Plantations d'alignement</t>
  </si>
  <si>
    <t>Tirages, publications, ...</t>
  </si>
  <si>
    <t>PDR</t>
  </si>
  <si>
    <t>Gaz</t>
  </si>
  <si>
    <t>D/PARTICIPATION DE LA COLLECTIVITE</t>
  </si>
  <si>
    <t>EDF-GDF</t>
  </si>
  <si>
    <t>K€ HT</t>
  </si>
  <si>
    <t>Gestion</t>
  </si>
  <si>
    <t>autres rémunérations commercialisation</t>
  </si>
  <si>
    <t>Aménagements de sols</t>
  </si>
  <si>
    <t>frais d'acte</t>
  </si>
  <si>
    <t>TVA non récupérable</t>
  </si>
  <si>
    <t>Autres recettes</t>
  </si>
  <si>
    <t>bassins de rétention eaux externes</t>
  </si>
  <si>
    <t>débroussaillage</t>
  </si>
  <si>
    <t>Plantations bassins</t>
  </si>
  <si>
    <t>MOUVEMENTS TVA</t>
  </si>
  <si>
    <t>DONNEES GENERALES</t>
  </si>
  <si>
    <t xml:space="preserve">date en jour/mois/an </t>
  </si>
  <si>
    <t>d'encaissement de l'emprunt</t>
  </si>
  <si>
    <t>K€ (kiloeuros)</t>
  </si>
  <si>
    <t>COMMENTAIRES :</t>
  </si>
  <si>
    <t>Etudes géologiques</t>
  </si>
  <si>
    <t>Décaissements TVA</t>
  </si>
  <si>
    <t>Encaissements TVA</t>
  </si>
  <si>
    <t>Coefficient correcteur dernière année op</t>
  </si>
  <si>
    <t>aménagement d'accès</t>
  </si>
  <si>
    <t>Région</t>
  </si>
  <si>
    <t>FADIA</t>
  </si>
  <si>
    <t>B/SUBVENTIONS</t>
  </si>
  <si>
    <t>calcul dépenses TTC rémunérables si rem sur TTC</t>
  </si>
  <si>
    <t>acomptes sur terrains</t>
  </si>
  <si>
    <t>HT</t>
  </si>
  <si>
    <t>Versements aux entreprises</t>
  </si>
  <si>
    <t>tva déductible (total tva réglée sur dépenses)</t>
  </si>
  <si>
    <t>Tva exigible</t>
  </si>
  <si>
    <t xml:space="preserve">dont tva récupérable     </t>
  </si>
  <si>
    <t>postes bilans</t>
  </si>
  <si>
    <t>imprévus</t>
  </si>
  <si>
    <t>emprunt 5</t>
  </si>
  <si>
    <t>emprunt 6</t>
  </si>
  <si>
    <t>Diagnostic &amp; fouilles archéologiques</t>
  </si>
  <si>
    <t>redevance diagnostic</t>
  </si>
  <si>
    <t>réseaux primaires/effac. ligne HT</t>
  </si>
  <si>
    <t>déblais/remblais</t>
  </si>
  <si>
    <t>sur locatifs</t>
  </si>
  <si>
    <t>sur travaux extérieurs</t>
  </si>
  <si>
    <t>Etudes d'impact/eau/diagnostic VRD</t>
  </si>
  <si>
    <t>Etude développement durable</t>
  </si>
  <si>
    <t>204,1</t>
  </si>
  <si>
    <t>204,2</t>
  </si>
  <si>
    <t>Tirages, publications</t>
  </si>
  <si>
    <t>205</t>
  </si>
  <si>
    <t>206</t>
  </si>
  <si>
    <t>207</t>
  </si>
  <si>
    <t>217</t>
  </si>
  <si>
    <t>redevance fouilles complémentaires</t>
  </si>
  <si>
    <t>travaux</t>
  </si>
  <si>
    <t>30A1</t>
  </si>
  <si>
    <t>30A2</t>
  </si>
  <si>
    <t>322</t>
  </si>
  <si>
    <t>Génie civil PTT, Eclairage public</t>
  </si>
  <si>
    <t>BT non taxable</t>
  </si>
  <si>
    <t>332</t>
  </si>
  <si>
    <t>331</t>
  </si>
  <si>
    <t>haut débit</t>
  </si>
  <si>
    <t>333</t>
  </si>
  <si>
    <t>SPS</t>
  </si>
  <si>
    <t>Développement durable</t>
  </si>
  <si>
    <t>407</t>
  </si>
  <si>
    <t>Travaux divers</t>
  </si>
  <si>
    <t>362</t>
  </si>
  <si>
    <t>601</t>
  </si>
  <si>
    <t>503</t>
  </si>
  <si>
    <t>Commerces</t>
  </si>
  <si>
    <t>taux sur recettes HT</t>
  </si>
  <si>
    <t>calcul cessions TTC rémunérables si rem sur TTC</t>
  </si>
  <si>
    <t>taux sur recettes TTC</t>
  </si>
  <si>
    <t>calcul autres recettes TTC rémunérables si rem sur TTC</t>
  </si>
  <si>
    <t>NOTA : les subventions sont hors champ tva (HT=TTC)</t>
  </si>
  <si>
    <r>
      <t xml:space="preserve">tva perçue /recettes taxables </t>
    </r>
    <r>
      <rPr>
        <i/>
        <sz val="9"/>
        <color indexed="12"/>
        <rFont val="Times New Roman"/>
        <family val="1"/>
      </rPr>
      <t>(part. tax. incluses)</t>
    </r>
  </si>
  <si>
    <t>forfait liquidat.sur dépenses hors rem</t>
  </si>
  <si>
    <t xml:space="preserve">Produits financiers </t>
  </si>
  <si>
    <t>(non tax.)</t>
  </si>
  <si>
    <t>divers 1</t>
  </si>
  <si>
    <t>divers2</t>
  </si>
  <si>
    <t>divers 2</t>
  </si>
  <si>
    <t>Versements  TRESOR</t>
  </si>
  <si>
    <t>tva acquittée</t>
  </si>
  <si>
    <t xml:space="preserve">tva remboursée </t>
  </si>
  <si>
    <t>SOLDE TVA</t>
  </si>
  <si>
    <r>
      <t>NOTA : les participations sont en majorité</t>
    </r>
    <r>
      <rPr>
        <b/>
        <u/>
        <sz val="11"/>
        <color indexed="10"/>
        <rFont val="Bookman Old Style"/>
        <family val="1"/>
      </rPr>
      <t xml:space="preserve"> hors champ tva, mais existence de cas particuliers ("tva" ou "droits")</t>
    </r>
  </si>
  <si>
    <t>Solde TVA si en encaissement</t>
  </si>
  <si>
    <t>Solde TVA si en décaissement</t>
  </si>
  <si>
    <t>gestion de trésorerie</t>
  </si>
  <si>
    <t>calcul rem sur CT si  rémunérable</t>
  </si>
  <si>
    <t>sous total rem gestion hors rem CT</t>
  </si>
  <si>
    <t>hors champ</t>
  </si>
  <si>
    <t>marge HT</t>
  </si>
  <si>
    <t>tva sur marge TTC à déduire</t>
  </si>
  <si>
    <t>tva sur marge HT</t>
  </si>
  <si>
    <t>tva sur marge TTC</t>
  </si>
  <si>
    <t>SHON cessible</t>
  </si>
  <si>
    <t>emprunt 7</t>
  </si>
  <si>
    <t>emprunt 8</t>
  </si>
  <si>
    <t>matrice du 30/03/11</t>
  </si>
  <si>
    <t>PARC D'ACTIVITES ANGERS MARCE</t>
  </si>
  <si>
    <t>au 31/12/10</t>
  </si>
  <si>
    <t>chemins marcé et giratoire rd</t>
  </si>
  <si>
    <t>Autres études</t>
  </si>
  <si>
    <t>tous</t>
  </si>
  <si>
    <t>Marché DURAND station</t>
  </si>
  <si>
    <t>Marché TPPL vrd</t>
  </si>
  <si>
    <t>TOPOLIGER urbanisme</t>
  </si>
  <si>
    <t>TOPOLIGER maitrise d'œuvre</t>
  </si>
  <si>
    <t>Terrassement trous obus</t>
  </si>
  <si>
    <t>Marché STPU</t>
  </si>
  <si>
    <t>Panneau publicitaire</t>
  </si>
  <si>
    <t>Activités 40 has à 18,50 € HT le m²</t>
  </si>
  <si>
    <t>Poteau incendie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</si>
</sst>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mmmm\ yy"/>
    <numFmt numFmtId="165" formatCode="#,##0.000"/>
  </numFmts>
  <fonts count="66">
    <font>
      <sz val="10"/>
      <name val="Geneva"/>
    </font>
    <font>
      <i/>
      <sz val="10"/>
      <name val="Geneva"/>
    </font>
    <font>
      <sz val="11"/>
      <name val="Times New Roman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i/>
      <sz val="11"/>
      <color indexed="12"/>
      <name val="Times New Roman"/>
      <family val="1"/>
    </font>
    <font>
      <b/>
      <i/>
      <sz val="11"/>
      <color indexed="12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b/>
      <i/>
      <sz val="11"/>
      <color indexed="12"/>
      <name val="Times New Roman"/>
    </font>
    <font>
      <sz val="10"/>
      <color indexed="12"/>
      <name val="Geneva"/>
    </font>
    <font>
      <b/>
      <i/>
      <sz val="11"/>
      <color indexed="12"/>
      <name val="Bookman Old Style"/>
    </font>
    <font>
      <b/>
      <u/>
      <sz val="11"/>
      <color indexed="12"/>
      <name val="Times New Roman"/>
      <family val="1"/>
    </font>
    <font>
      <i/>
      <sz val="11"/>
      <color indexed="12"/>
      <name val="Times New Roman"/>
    </font>
    <font>
      <b/>
      <i/>
      <sz val="11"/>
      <color indexed="12"/>
      <name val="Bookman Old Style"/>
      <family val="1"/>
    </font>
    <font>
      <sz val="10"/>
      <color indexed="12"/>
      <name val="Bookman Old Style"/>
      <family val="1"/>
    </font>
    <font>
      <sz val="11"/>
      <color indexed="12"/>
      <name val="Bookman Old Style"/>
      <family val="1"/>
    </font>
    <font>
      <u/>
      <sz val="11"/>
      <color indexed="12"/>
      <name val="Times New Roman"/>
      <family val="1"/>
    </font>
    <font>
      <b/>
      <outline/>
      <shadow/>
      <sz val="11"/>
      <color indexed="12"/>
      <name val="Times New Roman"/>
      <family val="1"/>
    </font>
    <font>
      <i/>
      <sz val="9"/>
      <color indexed="12"/>
      <name val="Times New Roman"/>
      <family val="1"/>
    </font>
    <font>
      <sz val="11"/>
      <color indexed="12"/>
      <name val="Times New Roman"/>
    </font>
    <font>
      <sz val="9"/>
      <color indexed="12"/>
      <name val="Times New Roman"/>
      <family val="1"/>
    </font>
    <font>
      <b/>
      <outline/>
      <shadow/>
      <sz val="10"/>
      <color indexed="12"/>
      <name val="Times New Roman"/>
      <family val="1"/>
    </font>
    <font>
      <sz val="10"/>
      <color indexed="12"/>
      <name val="Times New Roman"/>
      <family val="1"/>
    </font>
    <font>
      <i/>
      <sz val="10"/>
      <color indexed="12"/>
      <name val="Bookman Old Style"/>
      <family val="1"/>
    </font>
    <font>
      <b/>
      <i/>
      <sz val="10"/>
      <color indexed="12"/>
      <name val="Bookman Old Style"/>
      <family val="1"/>
    </font>
    <font>
      <b/>
      <i/>
      <u/>
      <sz val="11"/>
      <color indexed="12"/>
      <name val="Times New Roman"/>
      <family val="1"/>
    </font>
    <font>
      <sz val="11"/>
      <color indexed="12"/>
      <name val="Geneva"/>
    </font>
    <font>
      <b/>
      <i/>
      <u/>
      <sz val="11"/>
      <color indexed="12"/>
      <name val="Bookman Old Style"/>
      <family val="1"/>
    </font>
    <font>
      <i/>
      <u/>
      <sz val="11"/>
      <color indexed="12"/>
      <name val="Times New Roman"/>
    </font>
    <font>
      <i/>
      <sz val="10"/>
      <color indexed="12"/>
      <name val="Geneva"/>
    </font>
    <font>
      <i/>
      <sz val="10"/>
      <name val="Bookman Old Style"/>
      <family val="1"/>
    </font>
    <font>
      <i/>
      <sz val="11"/>
      <name val="Times New Roman"/>
      <family val="1"/>
    </font>
    <font>
      <i/>
      <sz val="11"/>
      <name val="Times New Roman"/>
    </font>
    <font>
      <b/>
      <sz val="11"/>
      <color indexed="12"/>
      <name val="Bookman Old Style"/>
    </font>
    <font>
      <b/>
      <sz val="9"/>
      <name val="Bookman Old Style"/>
      <family val="1"/>
    </font>
    <font>
      <b/>
      <sz val="11"/>
      <color indexed="12"/>
      <name val="Bookman Old Style"/>
      <family val="1"/>
    </font>
    <font>
      <b/>
      <u/>
      <sz val="11"/>
      <name val="Times New Roman"/>
      <family val="1"/>
    </font>
    <font>
      <b/>
      <u/>
      <sz val="12"/>
      <name val="Bookman Old Style"/>
      <family val="1"/>
    </font>
    <font>
      <b/>
      <u/>
      <sz val="12"/>
      <color indexed="12"/>
      <name val="Bookman Old Style"/>
      <family val="1"/>
    </font>
    <font>
      <b/>
      <sz val="12"/>
      <color indexed="12"/>
      <name val="Bookman Old Style"/>
      <family val="1"/>
    </font>
    <font>
      <sz val="11"/>
      <color indexed="10"/>
      <name val="Times New Roman"/>
      <family val="1"/>
    </font>
    <font>
      <i/>
      <sz val="10"/>
      <color indexed="28"/>
      <name val="Geneva"/>
    </font>
    <font>
      <i/>
      <sz val="11"/>
      <color indexed="28"/>
      <name val="Times New Roman"/>
      <family val="1"/>
    </font>
    <font>
      <b/>
      <i/>
      <sz val="11"/>
      <color indexed="28"/>
      <name val="Times New Roman"/>
      <family val="1"/>
    </font>
    <font>
      <i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u/>
      <sz val="10"/>
      <color indexed="12"/>
      <name val="Geneva"/>
    </font>
    <font>
      <b/>
      <sz val="16"/>
      <color indexed="10"/>
      <name val="Bookman Old Style"/>
      <family val="1"/>
    </font>
    <font>
      <b/>
      <u/>
      <sz val="11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6"/>
      <color indexed="10"/>
      <name val="Times New Roman"/>
      <family val="1"/>
    </font>
    <font>
      <i/>
      <sz val="10"/>
      <name val="Times New Roman"/>
    </font>
    <font>
      <i/>
      <sz val="10"/>
      <color indexed="12"/>
      <name val="Times New Roman"/>
    </font>
    <font>
      <sz val="7"/>
      <color indexed="10"/>
      <name val="Times New Roman"/>
      <family val="1"/>
    </font>
    <font>
      <sz val="11"/>
      <name val="Geneva"/>
    </font>
    <font>
      <b/>
      <i/>
      <sz val="9"/>
      <color indexed="12"/>
      <name val="Bookman Old Style"/>
      <family val="1"/>
    </font>
    <font>
      <i/>
      <sz val="10"/>
      <name val="Times New Roman"/>
      <family val="1"/>
    </font>
    <font>
      <i/>
      <u/>
      <sz val="10"/>
      <name val="Times New Roman"/>
      <family val="1"/>
    </font>
    <font>
      <b/>
      <u/>
      <sz val="11"/>
      <color indexed="10"/>
      <name val="Bookman Old Style"/>
      <family val="1"/>
    </font>
    <font>
      <i/>
      <sz val="10"/>
      <color indexed="10"/>
      <name val="Times New Roman"/>
      <family val="1"/>
    </font>
    <font>
      <u/>
      <sz val="10"/>
      <name val="Geneva"/>
    </font>
    <font>
      <sz val="10"/>
      <name val="Geneva"/>
    </font>
    <font>
      <b/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0" fillId="0" borderId="1" xfId="0" applyBorder="1"/>
    <xf numFmtId="3" fontId="3" fillId="0" borderId="2" xfId="0" applyNumberFormat="1" applyFont="1" applyBorder="1" applyProtection="1">
      <protection locked="0"/>
    </xf>
    <xf numFmtId="3" fontId="6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1" fillId="0" borderId="0" xfId="0" applyFont="1"/>
    <xf numFmtId="0" fontId="13" fillId="0" borderId="1" xfId="0" applyFont="1" applyBorder="1"/>
    <xf numFmtId="0" fontId="13" fillId="0" borderId="0" xfId="0" applyFont="1" applyBorder="1"/>
    <xf numFmtId="0" fontId="13" fillId="0" borderId="3" xfId="0" applyFont="1" applyBorder="1"/>
    <xf numFmtId="3" fontId="9" fillId="0" borderId="2" xfId="0" applyNumberFormat="1" applyFont="1" applyBorder="1"/>
    <xf numFmtId="0" fontId="9" fillId="0" borderId="1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3" fontId="8" fillId="0" borderId="4" xfId="0" applyNumberFormat="1" applyFont="1" applyBorder="1"/>
    <xf numFmtId="0" fontId="11" fillId="0" borderId="1" xfId="0" applyFont="1" applyBorder="1"/>
    <xf numFmtId="0" fontId="9" fillId="0" borderId="3" xfId="0" applyFont="1" applyBorder="1"/>
    <xf numFmtId="3" fontId="9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3" fontId="8" fillId="0" borderId="2" xfId="0" applyNumberFormat="1" applyFont="1" applyBorder="1"/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right"/>
    </xf>
    <xf numFmtId="3" fontId="13" fillId="0" borderId="5" xfId="0" applyNumberFormat="1" applyFont="1" applyBorder="1"/>
    <xf numFmtId="3" fontId="13" fillId="0" borderId="6" xfId="0" applyNumberFormat="1" applyFont="1" applyBorder="1"/>
    <xf numFmtId="3" fontId="13" fillId="0" borderId="7" xfId="0" applyNumberFormat="1" applyFont="1" applyBorder="1"/>
    <xf numFmtId="3" fontId="9" fillId="0" borderId="8" xfId="0" applyNumberFormat="1" applyFont="1" applyBorder="1"/>
    <xf numFmtId="3" fontId="18" fillId="0" borderId="1" xfId="0" applyNumberFormat="1" applyFont="1" applyBorder="1"/>
    <xf numFmtId="3" fontId="9" fillId="0" borderId="0" xfId="0" applyNumberFormat="1" applyFont="1" applyBorder="1"/>
    <xf numFmtId="3" fontId="18" fillId="0" borderId="0" xfId="0" applyNumberFormat="1" applyFont="1" applyBorder="1"/>
    <xf numFmtId="3" fontId="18" fillId="0" borderId="3" xfId="0" applyNumberFormat="1" applyFont="1" applyBorder="1"/>
    <xf numFmtId="3" fontId="9" fillId="0" borderId="3" xfId="0" applyNumberFormat="1" applyFont="1" applyBorder="1"/>
    <xf numFmtId="3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13" fillId="0" borderId="1" xfId="0" applyNumberFormat="1" applyFont="1" applyBorder="1"/>
    <xf numFmtId="3" fontId="13" fillId="0" borderId="0" xfId="0" applyNumberFormat="1" applyFont="1" applyBorder="1"/>
    <xf numFmtId="3" fontId="13" fillId="0" borderId="3" xfId="0" applyNumberFormat="1" applyFont="1" applyBorder="1"/>
    <xf numFmtId="3" fontId="17" fillId="0" borderId="0" xfId="0" applyNumberFormat="1" applyFont="1"/>
    <xf numFmtId="15" fontId="9" fillId="0" borderId="0" xfId="0" applyNumberFormat="1" applyFont="1" applyAlignment="1">
      <alignment horizontal="left"/>
    </xf>
    <xf numFmtId="0" fontId="19" fillId="0" borderId="0" xfId="0" applyFont="1"/>
    <xf numFmtId="3" fontId="19" fillId="0" borderId="0" xfId="0" applyNumberFormat="1" applyFont="1"/>
    <xf numFmtId="164" fontId="20" fillId="0" borderId="0" xfId="0" applyNumberFormat="1" applyFont="1"/>
    <xf numFmtId="0" fontId="21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Border="1"/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right"/>
    </xf>
    <xf numFmtId="3" fontId="15" fillId="0" borderId="4" xfId="0" applyNumberFormat="1" applyFont="1" applyBorder="1"/>
    <xf numFmtId="0" fontId="15" fillId="0" borderId="11" xfId="0" applyFont="1" applyBorder="1" applyAlignment="1">
      <alignment horizontal="left"/>
    </xf>
    <xf numFmtId="0" fontId="15" fillId="0" borderId="11" xfId="0" applyFont="1" applyBorder="1" applyAlignment="1">
      <alignment horizontal="right"/>
    </xf>
    <xf numFmtId="3" fontId="15" fillId="0" borderId="11" xfId="0" applyNumberFormat="1" applyFont="1" applyBorder="1"/>
    <xf numFmtId="3" fontId="15" fillId="0" borderId="0" xfId="0" applyNumberFormat="1" applyFont="1"/>
    <xf numFmtId="0" fontId="1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5" fontId="22" fillId="0" borderId="0" xfId="0" applyNumberFormat="1" applyFont="1" applyAlignment="1">
      <alignment horizontal="left"/>
    </xf>
    <xf numFmtId="0" fontId="19" fillId="0" borderId="0" xfId="0" applyFont="1" applyAlignment="1">
      <alignment horizontal="right"/>
    </xf>
    <xf numFmtId="3" fontId="23" fillId="0" borderId="0" xfId="0" applyNumberFormat="1" applyFont="1"/>
    <xf numFmtId="3" fontId="20" fillId="0" borderId="0" xfId="0" applyNumberFormat="1" applyFont="1"/>
    <xf numFmtId="3" fontId="22" fillId="0" borderId="0" xfId="0" applyNumberFormat="1" applyFont="1"/>
    <xf numFmtId="3" fontId="24" fillId="0" borderId="0" xfId="0" applyNumberFormat="1" applyFont="1"/>
    <xf numFmtId="0" fontId="24" fillId="0" borderId="0" xfId="0" applyFont="1"/>
    <xf numFmtId="0" fontId="22" fillId="0" borderId="0" xfId="0" applyFont="1"/>
    <xf numFmtId="0" fontId="11" fillId="0" borderId="0" xfId="0" applyFont="1" applyBorder="1"/>
    <xf numFmtId="0" fontId="18" fillId="0" borderId="1" xfId="0" applyFont="1" applyBorder="1"/>
    <xf numFmtId="3" fontId="18" fillId="0" borderId="2" xfId="0" applyNumberFormat="1" applyFont="1" applyBorder="1"/>
    <xf numFmtId="0" fontId="18" fillId="0" borderId="0" xfId="0" applyFont="1"/>
    <xf numFmtId="3" fontId="18" fillId="0" borderId="3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left"/>
    </xf>
    <xf numFmtId="3" fontId="18" fillId="0" borderId="12" xfId="0" applyNumberFormat="1" applyFont="1" applyBorder="1" applyAlignment="1">
      <alignment horizontal="right"/>
    </xf>
    <xf numFmtId="3" fontId="18" fillId="0" borderId="13" xfId="0" applyNumberFormat="1" applyFont="1" applyBorder="1" applyAlignment="1">
      <alignment horizontal="right"/>
    </xf>
    <xf numFmtId="3" fontId="18" fillId="0" borderId="14" xfId="0" applyNumberFormat="1" applyFont="1" applyBorder="1"/>
    <xf numFmtId="3" fontId="18" fillId="0" borderId="15" xfId="0" applyNumberFormat="1" applyFont="1" applyBorder="1"/>
    <xf numFmtId="3" fontId="21" fillId="0" borderId="2" xfId="0" applyNumberFormat="1" applyFont="1" applyBorder="1"/>
    <xf numFmtId="0" fontId="7" fillId="0" borderId="0" xfId="0" applyFont="1"/>
    <xf numFmtId="0" fontId="18" fillId="0" borderId="0" xfId="0" applyFont="1" applyBorder="1" applyAlignment="1">
      <alignment horizontal="right"/>
    </xf>
    <xf numFmtId="0" fontId="27" fillId="0" borderId="0" xfId="0" applyFont="1"/>
    <xf numFmtId="0" fontId="28" fillId="0" borderId="2" xfId="0" applyFont="1" applyBorder="1"/>
    <xf numFmtId="0" fontId="28" fillId="0" borderId="0" xfId="0" applyFont="1"/>
    <xf numFmtId="3" fontId="8" fillId="0" borderId="1" xfId="0" applyNumberFormat="1" applyFont="1" applyBorder="1"/>
    <xf numFmtId="3" fontId="8" fillId="0" borderId="0" xfId="0" applyNumberFormat="1" applyFont="1" applyBorder="1"/>
    <xf numFmtId="0" fontId="8" fillId="0" borderId="0" xfId="0" applyFont="1" applyBorder="1"/>
    <xf numFmtId="0" fontId="15" fillId="0" borderId="9" xfId="0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0" fontId="29" fillId="0" borderId="6" xfId="0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3" fontId="15" fillId="0" borderId="0" xfId="0" applyNumberFormat="1" applyFont="1" applyAlignment="1">
      <alignment horizontal="center"/>
    </xf>
    <xf numFmtId="3" fontId="15" fillId="0" borderId="9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Border="1"/>
    <xf numFmtId="0" fontId="18" fillId="0" borderId="5" xfId="0" applyFont="1" applyBorder="1"/>
    <xf numFmtId="0" fontId="18" fillId="0" borderId="6" xfId="0" applyFont="1" applyBorder="1"/>
    <xf numFmtId="0" fontId="13" fillId="0" borderId="7" xfId="0" applyFont="1" applyBorder="1"/>
    <xf numFmtId="0" fontId="18" fillId="0" borderId="1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9" fillId="0" borderId="6" xfId="0" applyFont="1" applyBorder="1"/>
    <xf numFmtId="0" fontId="9" fillId="0" borderId="7" xfId="0" applyFont="1" applyBorder="1"/>
    <xf numFmtId="3" fontId="21" fillId="0" borderId="0" xfId="0" applyNumberFormat="1" applyFont="1"/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right"/>
    </xf>
    <xf numFmtId="3" fontId="12" fillId="0" borderId="4" xfId="0" applyNumberFormat="1" applyFont="1" applyBorder="1"/>
    <xf numFmtId="0" fontId="12" fillId="0" borderId="0" xfId="0" applyFont="1"/>
    <xf numFmtId="3" fontId="12" fillId="0" borderId="0" xfId="0" applyNumberFormat="1" applyFont="1"/>
    <xf numFmtId="0" fontId="12" fillId="0" borderId="11" xfId="0" applyFont="1" applyBorder="1" applyAlignment="1">
      <alignment horizontal="left"/>
    </xf>
    <xf numFmtId="0" fontId="12" fillId="0" borderId="11" xfId="0" applyFont="1" applyBorder="1" applyAlignment="1">
      <alignment horizontal="right"/>
    </xf>
    <xf numFmtId="3" fontId="12" fillId="0" borderId="11" xfId="0" applyNumberFormat="1" applyFont="1" applyBorder="1"/>
    <xf numFmtId="0" fontId="30" fillId="0" borderId="0" xfId="0" applyFont="1"/>
    <xf numFmtId="0" fontId="30" fillId="0" borderId="0" xfId="0" applyFont="1" applyAlignment="1">
      <alignment horizontal="center"/>
    </xf>
    <xf numFmtId="3" fontId="30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1" fontId="9" fillId="0" borderId="0" xfId="0" applyNumberFormat="1" applyFont="1"/>
    <xf numFmtId="3" fontId="3" fillId="0" borderId="0" xfId="0" applyNumberFormat="1" applyFont="1" applyBorder="1" applyProtection="1">
      <protection locked="0"/>
    </xf>
    <xf numFmtId="3" fontId="3" fillId="0" borderId="3" xfId="0" applyNumberFormat="1" applyFont="1" applyBorder="1" applyProtection="1">
      <protection locked="0"/>
    </xf>
    <xf numFmtId="0" fontId="3" fillId="0" borderId="0" xfId="0" applyFont="1" applyBorder="1" applyProtection="1">
      <protection locked="0"/>
    </xf>
    <xf numFmtId="3" fontId="33" fillId="0" borderId="0" xfId="0" applyNumberFormat="1" applyFont="1" applyProtection="1">
      <protection locked="0"/>
    </xf>
    <xf numFmtId="10" fontId="33" fillId="0" borderId="0" xfId="0" applyNumberFormat="1" applyFont="1" applyProtection="1">
      <protection locked="0"/>
    </xf>
    <xf numFmtId="1" fontId="33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3" xfId="0" applyFont="1" applyBorder="1" applyProtection="1">
      <protection locked="0"/>
    </xf>
    <xf numFmtId="3" fontId="34" fillId="0" borderId="0" xfId="0" applyNumberFormat="1" applyFont="1" applyProtection="1">
      <protection locked="0"/>
    </xf>
    <xf numFmtId="0" fontId="3" fillId="0" borderId="3" xfId="0" applyFont="1" applyBorder="1" applyProtection="1">
      <protection locked="0"/>
    </xf>
    <xf numFmtId="0" fontId="9" fillId="0" borderId="0" xfId="0" applyFont="1" applyBorder="1" applyProtection="1"/>
    <xf numFmtId="0" fontId="35" fillId="0" borderId="0" xfId="0" applyFont="1"/>
    <xf numFmtId="0" fontId="37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3" fontId="5" fillId="0" borderId="1" xfId="0" applyNumberFormat="1" applyFont="1" applyBorder="1" applyProtection="1">
      <protection locked="0"/>
    </xf>
    <xf numFmtId="3" fontId="30" fillId="0" borderId="0" xfId="0" applyNumberFormat="1" applyFont="1" applyAlignment="1">
      <alignment horizontal="center" wrapText="1"/>
    </xf>
    <xf numFmtId="3" fontId="9" fillId="0" borderId="0" xfId="0" applyNumberFormat="1" applyFont="1" applyBorder="1" applyAlignment="1">
      <alignment horizontal="left"/>
    </xf>
    <xf numFmtId="3" fontId="38" fillId="0" borderId="1" xfId="0" applyNumberFormat="1" applyFont="1" applyBorder="1" applyProtection="1">
      <protection locked="0"/>
    </xf>
    <xf numFmtId="3" fontId="5" fillId="0" borderId="1" xfId="0" applyNumberFormat="1" applyFont="1" applyBorder="1" applyAlignment="1" applyProtection="1">
      <alignment horizontal="left"/>
      <protection locked="0"/>
    </xf>
    <xf numFmtId="3" fontId="9" fillId="0" borderId="2" xfId="0" applyNumberFormat="1" applyFont="1" applyBorder="1" applyProtection="1"/>
    <xf numFmtId="3" fontId="21" fillId="0" borderId="2" xfId="0" applyNumberFormat="1" applyFont="1" applyBorder="1" applyProtection="1"/>
    <xf numFmtId="3" fontId="18" fillId="0" borderId="1" xfId="0" applyNumberFormat="1" applyFont="1" applyBorder="1" applyProtection="1"/>
    <xf numFmtId="3" fontId="18" fillId="0" borderId="0" xfId="0" applyNumberFormat="1" applyFont="1" applyBorder="1" applyProtection="1"/>
    <xf numFmtId="0" fontId="9" fillId="0" borderId="0" xfId="0" applyFont="1" applyProtection="1"/>
    <xf numFmtId="3" fontId="9" fillId="0" borderId="0" xfId="0" applyNumberFormat="1" applyFont="1" applyProtection="1"/>
    <xf numFmtId="10" fontId="4" fillId="0" borderId="0" xfId="0" applyNumberFormat="1" applyFont="1" applyProtection="1">
      <protection locked="0"/>
    </xf>
    <xf numFmtId="3" fontId="20" fillId="0" borderId="0" xfId="0" applyNumberFormat="1" applyFont="1" applyProtection="1"/>
    <xf numFmtId="0" fontId="3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0" fontId="40" fillId="0" borderId="0" xfId="0" applyFont="1" applyAlignment="1">
      <alignment horizontal="centerContinuous"/>
    </xf>
    <xf numFmtId="3" fontId="40" fillId="0" borderId="0" xfId="0" applyNumberFormat="1" applyFont="1" applyAlignment="1">
      <alignment horizontal="centerContinuous"/>
    </xf>
    <xf numFmtId="0" fontId="40" fillId="0" borderId="0" xfId="0" applyFont="1" applyAlignment="1">
      <alignment horizontal="centerContinuous" vertical="center"/>
    </xf>
    <xf numFmtId="0" fontId="40" fillId="0" borderId="0" xfId="0" applyFo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Continuous" vertical="center"/>
    </xf>
    <xf numFmtId="3" fontId="9" fillId="0" borderId="0" xfId="0" applyNumberFormat="1" applyFont="1" applyAlignment="1">
      <alignment horizontal="centerContinuous" vertical="center"/>
    </xf>
    <xf numFmtId="0" fontId="41" fillId="0" borderId="0" xfId="0" applyFont="1" applyAlignment="1">
      <alignment vertical="center"/>
    </xf>
    <xf numFmtId="3" fontId="40" fillId="0" borderId="0" xfId="0" applyNumberFormat="1" applyFont="1"/>
    <xf numFmtId="0" fontId="37" fillId="0" borderId="0" xfId="0" applyFont="1"/>
    <xf numFmtId="0" fontId="9" fillId="0" borderId="1" xfId="0" applyFont="1" applyBorder="1" applyAlignment="1">
      <alignment horizontal="center"/>
    </xf>
    <xf numFmtId="0" fontId="42" fillId="0" borderId="1" xfId="0" applyFont="1" applyBorder="1" applyAlignment="1" applyProtection="1">
      <alignment horizontal="center"/>
      <protection locked="0"/>
    </xf>
    <xf numFmtId="3" fontId="42" fillId="0" borderId="1" xfId="0" applyNumberFormat="1" applyFont="1" applyBorder="1" applyAlignment="1" applyProtection="1">
      <alignment horizontal="center"/>
      <protection locked="0"/>
    </xf>
    <xf numFmtId="1" fontId="34" fillId="0" borderId="0" xfId="0" applyNumberFormat="1" applyFont="1" applyProtection="1">
      <protection locked="0"/>
    </xf>
    <xf numFmtId="3" fontId="42" fillId="0" borderId="3" xfId="0" applyNumberFormat="1" applyFont="1" applyBorder="1" applyProtection="1">
      <protection locked="0"/>
    </xf>
    <xf numFmtId="0" fontId="43" fillId="0" borderId="1" xfId="0" applyFont="1" applyBorder="1"/>
    <xf numFmtId="3" fontId="44" fillId="0" borderId="2" xfId="0" applyNumberFormat="1" applyFont="1" applyBorder="1" applyProtection="1">
      <protection locked="0"/>
    </xf>
    <xf numFmtId="3" fontId="44" fillId="0" borderId="2" xfId="0" applyNumberFormat="1" applyFont="1" applyBorder="1"/>
    <xf numFmtId="0" fontId="44" fillId="0" borderId="0" xfId="0" applyFont="1"/>
    <xf numFmtId="0" fontId="45" fillId="0" borderId="0" xfId="0" applyFont="1"/>
    <xf numFmtId="0" fontId="44" fillId="0" borderId="0" xfId="0" applyFont="1" applyBorder="1" applyAlignment="1" applyProtection="1">
      <alignment horizontal="right"/>
      <protection locked="0"/>
    </xf>
    <xf numFmtId="10" fontId="44" fillId="0" borderId="3" xfId="0" applyNumberFormat="1" applyFont="1" applyBorder="1" applyAlignment="1">
      <alignment horizontal="left"/>
    </xf>
    <xf numFmtId="3" fontId="9" fillId="0" borderId="0" xfId="0" applyNumberFormat="1" applyFont="1" applyBorder="1" applyProtection="1"/>
    <xf numFmtId="0" fontId="18" fillId="0" borderId="0" xfId="0" applyFont="1" applyBorder="1"/>
    <xf numFmtId="4" fontId="14" fillId="0" borderId="0" xfId="0" applyNumberFormat="1" applyFont="1" applyProtection="1"/>
    <xf numFmtId="15" fontId="9" fillId="0" borderId="0" xfId="0" applyNumberFormat="1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3" fontId="6" fillId="0" borderId="0" xfId="0" applyNumberFormat="1" applyFont="1" applyAlignment="1">
      <alignment horizontal="centerContinuous" vertical="center"/>
    </xf>
    <xf numFmtId="3" fontId="19" fillId="0" borderId="0" xfId="0" applyNumberFormat="1" applyFont="1" applyAlignment="1">
      <alignment horizontal="centerContinuous" vertical="center"/>
    </xf>
    <xf numFmtId="3" fontId="40" fillId="0" borderId="0" xfId="0" applyNumberFormat="1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justify"/>
    </xf>
    <xf numFmtId="0" fontId="11" fillId="0" borderId="0" xfId="0" applyFont="1" applyAlignment="1">
      <alignment vertical="justify"/>
    </xf>
    <xf numFmtId="3" fontId="9" fillId="0" borderId="0" xfId="0" applyNumberFormat="1" applyFont="1" applyAlignment="1">
      <alignment vertical="justify"/>
    </xf>
    <xf numFmtId="0" fontId="2" fillId="0" borderId="3" xfId="0" applyFont="1" applyBorder="1" applyAlignment="1" applyProtection="1">
      <alignment horizontal="right"/>
      <protection locked="0"/>
    </xf>
    <xf numFmtId="3" fontId="46" fillId="0" borderId="3" xfId="0" applyNumberFormat="1" applyFont="1" applyBorder="1"/>
    <xf numFmtId="0" fontId="11" fillId="0" borderId="2" xfId="0" applyFont="1" applyBorder="1"/>
    <xf numFmtId="0" fontId="0" fillId="0" borderId="2" xfId="0" applyBorder="1"/>
    <xf numFmtId="14" fontId="36" fillId="0" borderId="0" xfId="0" applyNumberFormat="1" applyFont="1" applyProtection="1">
      <protection locked="0"/>
    </xf>
    <xf numFmtId="0" fontId="17" fillId="0" borderId="0" xfId="0" applyFont="1" applyAlignment="1"/>
    <xf numFmtId="0" fontId="17" fillId="0" borderId="0" xfId="0" applyFont="1" applyAlignment="1">
      <alignment vertical="center"/>
    </xf>
    <xf numFmtId="0" fontId="15" fillId="0" borderId="0" xfId="0" applyFont="1" applyFill="1" applyBorder="1" applyAlignment="1">
      <alignment horizontal="right"/>
    </xf>
    <xf numFmtId="3" fontId="15" fillId="0" borderId="0" xfId="0" applyNumberFormat="1" applyFont="1" applyFill="1" applyBorder="1"/>
    <xf numFmtId="0" fontId="17" fillId="0" borderId="0" xfId="0" applyFont="1" applyFill="1" applyBorder="1"/>
    <xf numFmtId="3" fontId="8" fillId="0" borderId="14" xfId="0" applyNumberFormat="1" applyFont="1" applyBorder="1" applyAlignment="1">
      <alignment horizontal="right"/>
    </xf>
    <xf numFmtId="3" fontId="8" fillId="0" borderId="14" xfId="0" applyNumberFormat="1" applyFont="1" applyBorder="1"/>
    <xf numFmtId="3" fontId="3" fillId="0" borderId="2" xfId="0" applyNumberFormat="1" applyFont="1" applyBorder="1" applyProtection="1"/>
    <xf numFmtId="3" fontId="8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Protection="1"/>
    <xf numFmtId="0" fontId="5" fillId="0" borderId="1" xfId="0" applyFont="1" applyBorder="1" applyProtection="1">
      <protection locked="0"/>
    </xf>
    <xf numFmtId="3" fontId="18" fillId="0" borderId="2" xfId="0" applyNumberFormat="1" applyFont="1" applyBorder="1" applyProtection="1"/>
    <xf numFmtId="10" fontId="46" fillId="0" borderId="3" xfId="0" applyNumberFormat="1" applyFont="1" applyBorder="1" applyProtection="1"/>
    <xf numFmtId="3" fontId="46" fillId="0" borderId="2" xfId="0" applyNumberFormat="1" applyFont="1" applyBorder="1" applyProtection="1"/>
    <xf numFmtId="0" fontId="46" fillId="0" borderId="0" xfId="0" applyFont="1" applyProtection="1"/>
    <xf numFmtId="3" fontId="46" fillId="0" borderId="0" xfId="0" applyNumberFormat="1" applyFont="1" applyProtection="1"/>
    <xf numFmtId="0" fontId="9" fillId="0" borderId="0" xfId="0" applyFont="1" applyAlignment="1">
      <alignment horizontal="right"/>
    </xf>
    <xf numFmtId="0" fontId="9" fillId="0" borderId="1" xfId="0" applyFont="1" applyBorder="1" applyAlignment="1" applyProtection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3" fontId="7" fillId="2" borderId="8" xfId="0" applyNumberFormat="1" applyFont="1" applyFill="1" applyBorder="1" applyAlignment="1" applyProtection="1">
      <alignment horizontal="center"/>
      <protection locked="0"/>
    </xf>
    <xf numFmtId="3" fontId="15" fillId="2" borderId="8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5" fillId="2" borderId="3" xfId="0" applyFont="1" applyFill="1" applyBorder="1" applyAlignment="1">
      <alignment horizontal="centerContinuous" vertical="center"/>
    </xf>
    <xf numFmtId="14" fontId="7" fillId="2" borderId="2" xfId="0" applyNumberFormat="1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right"/>
    </xf>
    <xf numFmtId="0" fontId="25" fillId="2" borderId="12" xfId="0" applyFont="1" applyFill="1" applyBorder="1" applyAlignment="1">
      <alignment horizontal="right"/>
    </xf>
    <xf numFmtId="0" fontId="32" fillId="2" borderId="13" xfId="0" applyFont="1" applyFill="1" applyBorder="1" applyAlignment="1" applyProtection="1">
      <alignment horizontal="right"/>
      <protection locked="0"/>
    </xf>
    <xf numFmtId="0" fontId="15" fillId="2" borderId="14" xfId="0" applyFont="1" applyFill="1" applyBorder="1" applyAlignment="1">
      <alignment horizontal="center"/>
    </xf>
    <xf numFmtId="3" fontId="26" fillId="2" borderId="14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centerContinuous"/>
    </xf>
    <xf numFmtId="0" fontId="15" fillId="2" borderId="3" xfId="0" applyFont="1" applyFill="1" applyBorder="1" applyAlignment="1">
      <alignment horizontal="centerContinuous"/>
    </xf>
    <xf numFmtId="14" fontId="7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25" fillId="2" borderId="13" xfId="0" applyFont="1" applyFill="1" applyBorder="1" applyAlignment="1">
      <alignment horizontal="right"/>
    </xf>
    <xf numFmtId="14" fontId="7" fillId="2" borderId="14" xfId="0" applyNumberFormat="1" applyFont="1" applyFill="1" applyBorder="1" applyAlignment="1">
      <alignment horizontal="center"/>
    </xf>
    <xf numFmtId="3" fontId="15" fillId="2" borderId="15" xfId="0" applyNumberFormat="1" applyFont="1" applyFill="1" applyBorder="1" applyAlignment="1">
      <alignment horizontal="right"/>
    </xf>
    <xf numFmtId="3" fontId="15" fillId="2" borderId="12" xfId="0" applyNumberFormat="1" applyFont="1" applyFill="1" applyBorder="1" applyAlignment="1">
      <alignment horizontal="right"/>
    </xf>
    <xf numFmtId="3" fontId="15" fillId="2" borderId="13" xfId="0" applyNumberFormat="1" applyFont="1" applyFill="1" applyBorder="1" applyAlignment="1">
      <alignment horizontal="right"/>
    </xf>
    <xf numFmtId="3" fontId="15" fillId="2" borderId="4" xfId="0" applyNumberFormat="1" applyFont="1" applyFill="1" applyBorder="1"/>
    <xf numFmtId="3" fontId="7" fillId="2" borderId="8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" fontId="12" fillId="2" borderId="14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right"/>
    </xf>
    <xf numFmtId="0" fontId="15" fillId="2" borderId="12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3" fillId="2" borderId="7" xfId="0" applyFont="1" applyFill="1" applyBorder="1"/>
    <xf numFmtId="0" fontId="12" fillId="2" borderId="1" xfId="0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13" fillId="2" borderId="3" xfId="0" applyFont="1" applyFill="1" applyBorder="1" applyAlignment="1">
      <alignment horizontal="centerContinuous"/>
    </xf>
    <xf numFmtId="0" fontId="6" fillId="2" borderId="15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3" fontId="12" fillId="2" borderId="14" xfId="0" applyNumberFormat="1" applyFont="1" applyFill="1" applyBorder="1"/>
    <xf numFmtId="0" fontId="9" fillId="2" borderId="3" xfId="0" applyFont="1" applyFill="1" applyBorder="1" applyAlignment="1">
      <alignment horizontal="centerContinuous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right"/>
    </xf>
    <xf numFmtId="3" fontId="12" fillId="2" borderId="4" xfId="0" applyNumberFormat="1" applyFont="1" applyFill="1" applyBorder="1"/>
    <xf numFmtId="0" fontId="8" fillId="2" borderId="5" xfId="0" applyFont="1" applyFill="1" applyBorder="1" applyAlignment="1">
      <alignment horizontal="center" vertical="justify"/>
    </xf>
    <xf numFmtId="0" fontId="8" fillId="2" borderId="6" xfId="0" applyFont="1" applyFill="1" applyBorder="1" applyAlignment="1">
      <alignment horizontal="center" vertical="justify"/>
    </xf>
    <xf numFmtId="0" fontId="8" fillId="2" borderId="7" xfId="0" applyFont="1" applyFill="1" applyBorder="1" applyAlignment="1">
      <alignment horizontal="center" vertical="justify"/>
    </xf>
    <xf numFmtId="0" fontId="47" fillId="2" borderId="8" xfId="0" applyFont="1" applyFill="1" applyBorder="1" applyAlignment="1">
      <alignment horizontal="center" vertical="justify"/>
    </xf>
    <xf numFmtId="3" fontId="47" fillId="2" borderId="8" xfId="0" applyNumberFormat="1" applyFont="1" applyFill="1" applyBorder="1" applyAlignment="1">
      <alignment horizontal="center" vertical="justify"/>
    </xf>
    <xf numFmtId="0" fontId="7" fillId="2" borderId="3" xfId="0" applyFont="1" applyFill="1" applyBorder="1" applyAlignment="1">
      <alignment horizontal="centerContinuous"/>
    </xf>
    <xf numFmtId="14" fontId="47" fillId="2" borderId="2" xfId="0" applyNumberFormat="1" applyFont="1" applyFill="1" applyBorder="1" applyAlignment="1">
      <alignment horizontal="center"/>
    </xf>
    <xf numFmtId="0" fontId="47" fillId="2" borderId="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46" fillId="2" borderId="13" xfId="0" applyFont="1" applyFill="1" applyBorder="1" applyAlignment="1">
      <alignment horizontal="right" vertical="center"/>
    </xf>
    <xf numFmtId="14" fontId="47" fillId="2" borderId="14" xfId="0" applyNumberFormat="1" applyFont="1" applyFill="1" applyBorder="1" applyAlignment="1">
      <alignment horizontal="center" vertical="center"/>
    </xf>
    <xf numFmtId="3" fontId="47" fillId="2" borderId="14" xfId="0" applyNumberFormat="1" applyFont="1" applyFill="1" applyBorder="1" applyAlignment="1">
      <alignment horizontal="center" vertical="center"/>
    </xf>
    <xf numFmtId="3" fontId="48" fillId="2" borderId="14" xfId="0" applyNumberFormat="1" applyFont="1" applyFill="1" applyBorder="1" applyAlignment="1" applyProtection="1">
      <alignment horizontal="center" vertical="center"/>
      <protection locked="0"/>
    </xf>
    <xf numFmtId="3" fontId="15" fillId="2" borderId="14" xfId="0" applyNumberFormat="1" applyFont="1" applyFill="1" applyBorder="1"/>
    <xf numFmtId="0" fontId="7" fillId="2" borderId="5" xfId="0" applyFont="1" applyFill="1" applyBorder="1" applyAlignment="1">
      <alignment horizontal="center" vertical="justify"/>
    </xf>
    <xf numFmtId="0" fontId="7" fillId="2" borderId="6" xfId="0" applyFont="1" applyFill="1" applyBorder="1" applyAlignment="1">
      <alignment horizontal="center" vertical="justify"/>
    </xf>
    <xf numFmtId="0" fontId="7" fillId="2" borderId="7" xfId="0" applyFont="1" applyFill="1" applyBorder="1" applyAlignment="1">
      <alignment horizontal="center" vertical="justify"/>
    </xf>
    <xf numFmtId="14" fontId="47" fillId="2" borderId="8" xfId="0" applyNumberFormat="1" applyFont="1" applyFill="1" applyBorder="1" applyAlignment="1">
      <alignment horizontal="center" vertical="justify"/>
    </xf>
    <xf numFmtId="0" fontId="12" fillId="2" borderId="1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14" fontId="47" fillId="2" borderId="2" xfId="0" applyNumberFormat="1" applyFont="1" applyFill="1" applyBorder="1" applyAlignment="1">
      <alignment horizontal="center" vertical="center"/>
    </xf>
    <xf numFmtId="1" fontId="47" fillId="2" borderId="2" xfId="0" applyNumberFormat="1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right"/>
    </xf>
    <xf numFmtId="1" fontId="47" fillId="2" borderId="14" xfId="0" applyNumberFormat="1" applyFont="1" applyFill="1" applyBorder="1" applyAlignment="1">
      <alignment horizontal="center"/>
    </xf>
    <xf numFmtId="3" fontId="47" fillId="2" borderId="14" xfId="0" applyNumberFormat="1" applyFont="1" applyFill="1" applyBorder="1" applyAlignment="1">
      <alignment horizontal="center"/>
    </xf>
    <xf numFmtId="14" fontId="47" fillId="2" borderId="14" xfId="0" applyNumberFormat="1" applyFont="1" applyFill="1" applyBorder="1" applyAlignment="1">
      <alignment horizontal="center"/>
    </xf>
    <xf numFmtId="0" fontId="47" fillId="2" borderId="7" xfId="0" applyFont="1" applyFill="1" applyBorder="1" applyAlignment="1">
      <alignment horizontal="center" vertical="justify"/>
    </xf>
    <xf numFmtId="0" fontId="47" fillId="2" borderId="3" xfId="0" applyFont="1" applyFill="1" applyBorder="1" applyAlignment="1">
      <alignment horizontal="centerContinuous"/>
    </xf>
    <xf numFmtId="0" fontId="47" fillId="2" borderId="1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4" fontId="7" fillId="2" borderId="8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justify"/>
    </xf>
    <xf numFmtId="1" fontId="7" fillId="2" borderId="2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right"/>
    </xf>
    <xf numFmtId="0" fontId="7" fillId="2" borderId="14" xfId="0" applyNumberFormat="1" applyFont="1" applyFill="1" applyBorder="1" applyAlignment="1">
      <alignment horizontal="center"/>
    </xf>
    <xf numFmtId="1" fontId="7" fillId="2" borderId="14" xfId="0" applyNumberFormat="1" applyFont="1" applyFill="1" applyBorder="1" applyAlignment="1">
      <alignment horizontal="center"/>
    </xf>
    <xf numFmtId="0" fontId="15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right"/>
    </xf>
    <xf numFmtId="3" fontId="50" fillId="0" borderId="3" xfId="0" applyNumberFormat="1" applyFont="1" applyBorder="1" applyProtection="1"/>
    <xf numFmtId="1" fontId="15" fillId="2" borderId="2" xfId="0" applyNumberFormat="1" applyFont="1" applyFill="1" applyBorder="1" applyAlignment="1">
      <alignment horizontal="center"/>
    </xf>
    <xf numFmtId="0" fontId="39" fillId="0" borderId="0" xfId="0" applyFont="1" applyAlignment="1" applyProtection="1">
      <alignment horizontal="left" vertical="center"/>
      <protection locked="0"/>
    </xf>
    <xf numFmtId="10" fontId="8" fillId="0" borderId="0" xfId="0" applyNumberFormat="1" applyFont="1" applyProtection="1"/>
    <xf numFmtId="0" fontId="53" fillId="0" borderId="0" xfId="0" applyFont="1" applyProtection="1"/>
    <xf numFmtId="3" fontId="46" fillId="0" borderId="1" xfId="0" applyNumberFormat="1" applyFont="1" applyBorder="1" applyAlignment="1" applyProtection="1">
      <alignment horizontal="left"/>
    </xf>
    <xf numFmtId="0" fontId="0" fillId="0" borderId="0" xfId="0" applyProtection="1"/>
    <xf numFmtId="0" fontId="1" fillId="0" borderId="0" xfId="0" applyFont="1"/>
    <xf numFmtId="3" fontId="46" fillId="0" borderId="2" xfId="0" applyNumberFormat="1" applyFont="1" applyBorder="1"/>
    <xf numFmtId="3" fontId="55" fillId="0" borderId="2" xfId="0" applyNumberFormat="1" applyFont="1" applyBorder="1"/>
    <xf numFmtId="0" fontId="46" fillId="0" borderId="0" xfId="0" applyFont="1"/>
    <xf numFmtId="0" fontId="3" fillId="0" borderId="1" xfId="0" applyFont="1" applyBorder="1" applyProtection="1">
      <protection locked="0"/>
    </xf>
    <xf numFmtId="3" fontId="13" fillId="0" borderId="3" xfId="0" applyNumberFormat="1" applyFont="1" applyBorder="1" applyProtection="1"/>
    <xf numFmtId="3" fontId="3" fillId="0" borderId="3" xfId="0" applyNumberFormat="1" applyFont="1" applyBorder="1" applyProtection="1"/>
    <xf numFmtId="10" fontId="42" fillId="0" borderId="3" xfId="0" applyNumberFormat="1" applyFont="1" applyBorder="1" applyProtection="1">
      <protection locked="0"/>
    </xf>
    <xf numFmtId="0" fontId="56" fillId="0" borderId="1" xfId="0" applyFont="1" applyBorder="1" applyProtection="1">
      <protection locked="0"/>
    </xf>
    <xf numFmtId="0" fontId="3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" fontId="8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3" fontId="8" fillId="0" borderId="4" xfId="0" applyNumberFormat="1" applyFont="1" applyBorder="1" applyAlignment="1" applyProtection="1">
      <alignment vertical="center"/>
      <protection locked="0"/>
    </xf>
    <xf numFmtId="3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vertical="center"/>
    </xf>
    <xf numFmtId="3" fontId="4" fillId="0" borderId="4" xfId="0" applyNumberFormat="1" applyFont="1" applyBorder="1" applyAlignment="1" applyProtection="1">
      <alignment vertical="center"/>
      <protection locked="0"/>
    </xf>
    <xf numFmtId="3" fontId="13" fillId="0" borderId="1" xfId="0" applyNumberFormat="1" applyFont="1" applyBorder="1" applyAlignment="1"/>
    <xf numFmtId="0" fontId="57" fillId="0" borderId="0" xfId="0" applyFont="1"/>
    <xf numFmtId="0" fontId="18" fillId="0" borderId="5" xfId="0" applyFont="1" applyBorder="1" applyAlignment="1">
      <alignment horizontal="left"/>
    </xf>
    <xf numFmtId="0" fontId="11" fillId="0" borderId="6" xfId="0" applyFont="1" applyBorder="1"/>
    <xf numFmtId="0" fontId="46" fillId="0" borderId="1" xfId="0" applyFont="1" applyBorder="1"/>
    <xf numFmtId="0" fontId="24" fillId="0" borderId="0" xfId="0" applyFont="1" applyBorder="1"/>
    <xf numFmtId="165" fontId="3" fillId="0" borderId="3" xfId="0" applyNumberFormat="1" applyFont="1" applyBorder="1" applyProtection="1">
      <protection locked="0"/>
    </xf>
    <xf numFmtId="14" fontId="7" fillId="2" borderId="14" xfId="0" applyNumberFormat="1" applyFont="1" applyFill="1" applyBorder="1" applyAlignment="1" applyProtection="1">
      <alignment horizontal="center"/>
    </xf>
    <xf numFmtId="14" fontId="10" fillId="2" borderId="14" xfId="0" applyNumberFormat="1" applyFont="1" applyFill="1" applyBorder="1" applyAlignment="1">
      <alignment horizontal="center"/>
    </xf>
    <xf numFmtId="14" fontId="33" fillId="0" borderId="0" xfId="0" applyNumberFormat="1" applyFont="1" applyProtection="1">
      <protection locked="0"/>
    </xf>
    <xf numFmtId="10" fontId="3" fillId="0" borderId="3" xfId="0" applyNumberFormat="1" applyFont="1" applyBorder="1" applyProtection="1">
      <protection locked="0"/>
    </xf>
    <xf numFmtId="3" fontId="59" fillId="0" borderId="2" xfId="0" applyNumberFormat="1" applyFont="1" applyBorder="1" applyProtection="1">
      <protection locked="0"/>
    </xf>
    <xf numFmtId="3" fontId="61" fillId="0" borderId="3" xfId="0" applyNumberFormat="1" applyFont="1" applyBorder="1"/>
    <xf numFmtId="49" fontId="22" fillId="0" borderId="0" xfId="0" applyNumberFormat="1" applyFont="1" applyAlignment="1">
      <alignment horizontal="center"/>
    </xf>
    <xf numFmtId="49" fontId="59" fillId="3" borderId="8" xfId="0" applyNumberFormat="1" applyFont="1" applyFill="1" applyBorder="1" applyAlignment="1" applyProtection="1">
      <alignment horizontal="center"/>
      <protection locked="0"/>
    </xf>
    <xf numFmtId="49" fontId="59" fillId="3" borderId="2" xfId="0" applyNumberFormat="1" applyFont="1" applyFill="1" applyBorder="1" applyAlignment="1" applyProtection="1">
      <alignment horizontal="center"/>
      <protection locked="0"/>
    </xf>
    <xf numFmtId="49" fontId="60" fillId="3" borderId="2" xfId="0" applyNumberFormat="1" applyFont="1" applyFill="1" applyBorder="1" applyAlignment="1" applyProtection="1">
      <alignment horizontal="center"/>
      <protection locked="0"/>
    </xf>
    <xf numFmtId="49" fontId="60" fillId="3" borderId="14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54" fillId="3" borderId="2" xfId="0" applyNumberFormat="1" applyFont="1" applyFill="1" applyBorder="1" applyAlignment="1" applyProtection="1">
      <alignment horizontal="center"/>
      <protection locked="0"/>
    </xf>
    <xf numFmtId="49" fontId="32" fillId="3" borderId="14" xfId="0" applyNumberFormat="1" applyFont="1" applyFill="1" applyBorder="1" applyAlignment="1" applyProtection="1">
      <alignment horizontal="center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Fill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59" fillId="3" borderId="14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3" fillId="0" borderId="0" xfId="0" applyNumberFormat="1" applyFont="1" applyAlignment="1" applyProtection="1">
      <alignment horizontal="center"/>
      <protection locked="0"/>
    </xf>
    <xf numFmtId="3" fontId="42" fillId="0" borderId="3" xfId="0" applyNumberFormat="1" applyFont="1" applyBorder="1" applyProtection="1"/>
    <xf numFmtId="3" fontId="46" fillId="0" borderId="0" xfId="0" applyNumberFormat="1" applyFont="1" applyBorder="1" applyAlignment="1">
      <alignment horizontal="left"/>
    </xf>
    <xf numFmtId="10" fontId="62" fillId="0" borderId="3" xfId="0" applyNumberFormat="1" applyFont="1" applyBorder="1" applyProtection="1">
      <protection locked="0"/>
    </xf>
    <xf numFmtId="3" fontId="46" fillId="0" borderId="0" xfId="0" applyNumberFormat="1" applyFont="1"/>
    <xf numFmtId="0" fontId="49" fillId="0" borderId="0" xfId="0" applyFont="1" applyBorder="1"/>
    <xf numFmtId="0" fontId="63" fillId="0" borderId="0" xfId="0" applyFont="1"/>
    <xf numFmtId="0" fontId="54" fillId="0" borderId="3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3" fontId="46" fillId="0" borderId="3" xfId="0" applyNumberFormat="1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3" fontId="0" fillId="0" borderId="0" xfId="0" applyNumberFormat="1"/>
    <xf numFmtId="3" fontId="0" fillId="0" borderId="0" xfId="0" applyNumberFormat="1" applyProtection="1"/>
    <xf numFmtId="3" fontId="1" fillId="0" borderId="0" xfId="0" applyNumberFormat="1" applyFont="1"/>
    <xf numFmtId="10" fontId="42" fillId="0" borderId="0" xfId="0" applyNumberFormat="1" applyFont="1" applyBorder="1" applyAlignment="1" applyProtection="1">
      <protection locked="0"/>
    </xf>
    <xf numFmtId="49" fontId="54" fillId="3" borderId="2" xfId="0" applyNumberFormat="1" applyFont="1" applyFill="1" applyBorder="1" applyAlignment="1" applyProtection="1">
      <alignment horizontal="center"/>
    </xf>
    <xf numFmtId="3" fontId="1" fillId="0" borderId="0" xfId="0" applyNumberFormat="1" applyFont="1" applyProtection="1"/>
    <xf numFmtId="3" fontId="59" fillId="0" borderId="0" xfId="0" applyNumberFormat="1" applyFont="1" applyBorder="1" applyProtection="1"/>
    <xf numFmtId="10" fontId="59" fillId="0" borderId="3" xfId="0" applyNumberFormat="1" applyFont="1" applyBorder="1" applyProtection="1"/>
    <xf numFmtId="3" fontId="59" fillId="0" borderId="1" xfId="0" applyNumberFormat="1" applyFont="1" applyBorder="1" applyProtection="1"/>
    <xf numFmtId="3" fontId="9" fillId="0" borderId="0" xfId="0" applyNumberFormat="1" applyFont="1" applyBorder="1" applyAlignment="1" applyProtection="1">
      <alignment horizontal="left"/>
    </xf>
    <xf numFmtId="3" fontId="11" fillId="0" borderId="0" xfId="0" applyNumberFormat="1" applyFont="1" applyProtection="1"/>
    <xf numFmtId="49" fontId="55" fillId="3" borderId="2" xfId="0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 applyProtection="1">
      <alignment horizontal="left"/>
    </xf>
    <xf numFmtId="10" fontId="9" fillId="0" borderId="3" xfId="0" applyNumberFormat="1" applyFont="1" applyBorder="1" applyProtection="1"/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1" fillId="0" borderId="1" xfId="0" applyFont="1" applyBorder="1"/>
    <xf numFmtId="0" fontId="33" fillId="0" borderId="0" xfId="0" applyFont="1" applyBorder="1" applyAlignment="1" applyProtection="1">
      <alignment horizontal="right"/>
      <protection locked="0"/>
    </xf>
    <xf numFmtId="10" fontId="33" fillId="0" borderId="3" xfId="0" applyNumberFormat="1" applyFont="1" applyBorder="1" applyAlignment="1">
      <alignment horizontal="left"/>
    </xf>
    <xf numFmtId="3" fontId="33" fillId="0" borderId="2" xfId="0" applyNumberFormat="1" applyFont="1" applyBorder="1" applyProtection="1">
      <protection locked="0"/>
    </xf>
    <xf numFmtId="0" fontId="64" fillId="0" borderId="0" xfId="0" applyFont="1"/>
    <xf numFmtId="3" fontId="33" fillId="0" borderId="2" xfId="0" applyNumberFormat="1" applyFont="1" applyBorder="1"/>
    <xf numFmtId="0" fontId="33" fillId="0" borderId="0" xfId="0" applyFont="1"/>
    <xf numFmtId="0" fontId="65" fillId="0" borderId="0" xfId="0" applyFont="1"/>
    <xf numFmtId="0" fontId="31" fillId="0" borderId="0" xfId="0" applyFont="1" applyProtection="1">
      <protection locked="0"/>
    </xf>
    <xf numFmtId="49" fontId="58" fillId="4" borderId="8" xfId="0" applyNumberFormat="1" applyFont="1" applyFill="1" applyBorder="1" applyAlignment="1">
      <alignment horizontal="center" vertical="center" wrapText="1"/>
    </xf>
    <xf numFmtId="49" fontId="58" fillId="4" borderId="2" xfId="0" applyNumberFormat="1" applyFont="1" applyFill="1" applyBorder="1" applyAlignment="1">
      <alignment horizontal="center" vertical="center" wrapText="1"/>
    </xf>
    <xf numFmtId="49" fontId="58" fillId="4" borderId="14" xfId="0" applyNumberFormat="1" applyFont="1" applyFill="1" applyBorder="1" applyAlignment="1">
      <alignment horizontal="center" vertical="center" wrapText="1"/>
    </xf>
    <xf numFmtId="14" fontId="52" fillId="0" borderId="0" xfId="0" applyNumberFormat="1" applyFont="1" applyAlignment="1">
      <alignment horizontal="left"/>
    </xf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7"/>
  <sheetViews>
    <sheetView workbookViewId="0">
      <pane xSplit="3" ySplit="6" topLeftCell="D91" activePane="bottomRight" state="frozen"/>
      <selection pane="topRight" activeCell="D1" sqref="D1"/>
      <selection pane="bottomLeft" activeCell="A7" sqref="A7"/>
      <selection pane="bottomRight" activeCell="N96" sqref="N96"/>
    </sheetView>
  </sheetViews>
  <sheetFormatPr baseColWidth="10" defaultRowHeight="12.75" outlineLevelCol="1"/>
  <cols>
    <col min="1" max="1" width="3" style="69" customWidth="1"/>
    <col min="2" max="2" width="31.7109375" style="69" customWidth="1"/>
    <col min="3" max="3" width="7.5703125" style="69" customWidth="1"/>
    <col min="4" max="7" width="10.7109375" style="69" customWidth="1"/>
    <col min="8" max="8" width="10.7109375" style="67" customWidth="1"/>
    <col min="9" max="9" width="10.7109375" style="67" customWidth="1" outlineLevel="1"/>
    <col min="10" max="19" width="10.7109375" style="69" customWidth="1" outlineLevel="1"/>
    <col min="20" max="20" width="10.7109375" style="68" customWidth="1" outlineLevel="1"/>
    <col min="21" max="21" width="0.28515625" customWidth="1"/>
    <col min="22" max="22" width="10.7109375" style="68" customWidth="1"/>
    <col min="23" max="23" width="6.7109375" style="351" customWidth="1"/>
    <col min="24" max="25" width="6.7109375" style="70" customWidth="1"/>
    <col min="26" max="35" width="6.7109375" style="69" customWidth="1"/>
    <col min="36" max="38" width="7.7109375" style="69" customWidth="1"/>
    <col min="39" max="48" width="7.5703125" style="69" customWidth="1"/>
    <col min="49" max="16384" width="11.42578125" style="69"/>
  </cols>
  <sheetData>
    <row r="1" spans="1:23" ht="15.75">
      <c r="A1" s="409" t="str">
        <f>données!A1</f>
        <v>PARC D'ACTIVITES ANGERS MARCE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</row>
    <row r="2" spans="1:23" ht="15" customHeight="1">
      <c r="A2" s="134" t="s">
        <v>130</v>
      </c>
      <c r="F2" s="408">
        <f>dateCRAC</f>
        <v>39446</v>
      </c>
      <c r="G2" s="408"/>
    </row>
    <row r="3" spans="1:23" ht="13.5" customHeight="1">
      <c r="A3" s="6"/>
      <c r="B3" s="63">
        <f ca="1">NOW()</f>
        <v>39819.613513078701</v>
      </c>
      <c r="C3" s="64" t="s">
        <v>0</v>
      </c>
      <c r="D3" s="311">
        <f>tva</f>
        <v>0.19600000000000001</v>
      </c>
      <c r="E3" s="6"/>
      <c r="F3" s="65"/>
      <c r="G3" s="149" t="str">
        <f>données!G7</f>
        <v>matrice du 30/03/11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V3" s="66"/>
    </row>
    <row r="4" spans="1:23" s="197" customFormat="1" ht="12.95" customHeight="1">
      <c r="A4" s="216" t="s">
        <v>1</v>
      </c>
      <c r="B4" s="217"/>
      <c r="C4" s="218"/>
      <c r="D4" s="219" t="s">
        <v>2</v>
      </c>
      <c r="E4" s="219" t="s">
        <v>2</v>
      </c>
      <c r="F4" s="220"/>
      <c r="G4" s="221" t="s">
        <v>1</v>
      </c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/>
      <c r="V4" s="221"/>
      <c r="W4" s="405" t="s">
        <v>177</v>
      </c>
    </row>
    <row r="5" spans="1:23" s="198" customFormat="1" ht="15">
      <c r="A5" s="222" t="s">
        <v>3</v>
      </c>
      <c r="B5" s="223"/>
      <c r="C5" s="224"/>
      <c r="D5" s="225" t="s">
        <v>4</v>
      </c>
      <c r="E5" s="225" t="s">
        <v>5</v>
      </c>
      <c r="F5" s="226">
        <f>IF(AND(DAY(E6)=31,MONTH(E6)=12),YEAR(E6+365),YEAR(E6))</f>
        <v>2012</v>
      </c>
      <c r="G5" s="226">
        <f>F5+1</f>
        <v>2013</v>
      </c>
      <c r="H5" s="226">
        <f t="shared" ref="H5:T5" si="0">G5+1</f>
        <v>2014</v>
      </c>
      <c r="I5" s="226">
        <f t="shared" si="0"/>
        <v>2015</v>
      </c>
      <c r="J5" s="227">
        <f t="shared" si="0"/>
        <v>2016</v>
      </c>
      <c r="K5" s="227">
        <f t="shared" si="0"/>
        <v>2017</v>
      </c>
      <c r="L5" s="227">
        <f t="shared" si="0"/>
        <v>2018</v>
      </c>
      <c r="M5" s="227">
        <f t="shared" si="0"/>
        <v>2019</v>
      </c>
      <c r="N5" s="227">
        <f t="shared" si="0"/>
        <v>2020</v>
      </c>
      <c r="O5" s="227">
        <f t="shared" si="0"/>
        <v>2021</v>
      </c>
      <c r="P5" s="227">
        <f t="shared" si="0"/>
        <v>2022</v>
      </c>
      <c r="Q5" s="227">
        <f t="shared" si="0"/>
        <v>2023</v>
      </c>
      <c r="R5" s="227">
        <f t="shared" si="0"/>
        <v>2024</v>
      </c>
      <c r="S5" s="227">
        <f t="shared" si="0"/>
        <v>2025</v>
      </c>
      <c r="T5" s="227">
        <f t="shared" si="0"/>
        <v>2026</v>
      </c>
      <c r="U5"/>
      <c r="V5" s="228" t="s">
        <v>6</v>
      </c>
      <c r="W5" s="406"/>
    </row>
    <row r="6" spans="1:23" s="22" customFormat="1" ht="12.95" customHeight="1">
      <c r="A6" s="229"/>
      <c r="B6" s="230"/>
      <c r="C6" s="231" t="s">
        <v>146</v>
      </c>
      <c r="D6" s="232">
        <f>IF(AND(DAY(E6)=31,MONTH(E6)=12),YEAR(E6),YEAR(E6-365))</f>
        <v>2011</v>
      </c>
      <c r="E6" s="345">
        <f>données!F3</f>
        <v>39446</v>
      </c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/>
      <c r="V6" s="233"/>
      <c r="W6" s="407"/>
    </row>
    <row r="7" spans="1:23" s="4" customFormat="1" ht="14.1" customHeight="1">
      <c r="A7" s="25" t="s">
        <v>7</v>
      </c>
      <c r="B7" s="26"/>
      <c r="C7" s="27"/>
      <c r="D7" s="28"/>
      <c r="E7" s="28"/>
      <c r="F7" s="28"/>
      <c r="G7" s="28"/>
      <c r="H7" s="28"/>
      <c r="I7" s="28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/>
      <c r="V7" s="28"/>
      <c r="W7" s="352"/>
    </row>
    <row r="8" spans="1:23" s="4" customFormat="1" ht="14.1" customHeight="1">
      <c r="A8" s="144" t="s">
        <v>9</v>
      </c>
      <c r="B8" s="39"/>
      <c r="C8" s="32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/>
      <c r="V8" s="10"/>
      <c r="W8" s="353"/>
    </row>
    <row r="9" spans="1:23" s="4" customFormat="1" ht="14.1" customHeight="1">
      <c r="A9" s="166" t="s">
        <v>8</v>
      </c>
      <c r="B9" s="123" t="s">
        <v>136</v>
      </c>
      <c r="C9" s="321"/>
      <c r="D9" s="2">
        <v>1100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/>
      <c r="V9" s="10">
        <f>SUM(D9:T9)</f>
        <v>1100</v>
      </c>
      <c r="W9" s="353">
        <v>101</v>
      </c>
    </row>
    <row r="10" spans="1:23" s="4" customFormat="1" ht="14.1" customHeight="1">
      <c r="A10" s="166" t="s">
        <v>8</v>
      </c>
      <c r="B10" s="123" t="s">
        <v>248</v>
      </c>
      <c r="C10" s="321"/>
      <c r="D10" s="2">
        <v>0</v>
      </c>
      <c r="E10" s="2">
        <v>0</v>
      </c>
      <c r="F10" s="2">
        <v>10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/>
      <c r="V10" s="10">
        <f>SUM(D10:T10)</f>
        <v>10</v>
      </c>
      <c r="W10" s="353">
        <v>101</v>
      </c>
    </row>
    <row r="11" spans="1:23" s="4" customFormat="1" ht="14.1" customHeight="1">
      <c r="A11" s="215" t="s">
        <v>8</v>
      </c>
      <c r="B11" s="177" t="s">
        <v>150</v>
      </c>
      <c r="C11" s="169" t="s">
        <v>0</v>
      </c>
      <c r="D11" s="2">
        <v>13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/>
      <c r="V11" s="10">
        <f>SUM(D11:T11)</f>
        <v>13</v>
      </c>
      <c r="W11" s="353">
        <v>102</v>
      </c>
    </row>
    <row r="12" spans="1:23" s="4" customFormat="1" ht="14.1" customHeight="1">
      <c r="A12" s="166"/>
      <c r="C12" s="75" t="s">
        <v>18</v>
      </c>
      <c r="D12" s="209">
        <f>SUM(D9:D11)</f>
        <v>1113</v>
      </c>
      <c r="E12" s="209">
        <f t="shared" ref="E12:T12" si="1">SUM(E9:E11)</f>
        <v>0</v>
      </c>
      <c r="F12" s="209">
        <f t="shared" si="1"/>
        <v>10</v>
      </c>
      <c r="G12" s="209">
        <f t="shared" si="1"/>
        <v>0</v>
      </c>
      <c r="H12" s="209">
        <f t="shared" si="1"/>
        <v>0</v>
      </c>
      <c r="I12" s="209">
        <f t="shared" si="1"/>
        <v>0</v>
      </c>
      <c r="J12" s="209">
        <f t="shared" si="1"/>
        <v>0</v>
      </c>
      <c r="K12" s="209">
        <f t="shared" si="1"/>
        <v>0</v>
      </c>
      <c r="L12" s="209">
        <f t="shared" si="1"/>
        <v>0</v>
      </c>
      <c r="M12" s="209">
        <f t="shared" si="1"/>
        <v>0</v>
      </c>
      <c r="N12" s="209">
        <f t="shared" si="1"/>
        <v>0</v>
      </c>
      <c r="O12" s="209">
        <f t="shared" si="1"/>
        <v>0</v>
      </c>
      <c r="P12" s="209">
        <f t="shared" si="1"/>
        <v>0</v>
      </c>
      <c r="Q12" s="209">
        <f t="shared" si="1"/>
        <v>0</v>
      </c>
      <c r="R12" s="209">
        <f t="shared" si="1"/>
        <v>0</v>
      </c>
      <c r="S12" s="209">
        <f t="shared" si="1"/>
        <v>0</v>
      </c>
      <c r="T12" s="209">
        <f t="shared" si="1"/>
        <v>0</v>
      </c>
      <c r="U12"/>
      <c r="V12" s="73">
        <f>SUM(V9:V11)</f>
        <v>1123</v>
      </c>
      <c r="W12" s="354"/>
    </row>
    <row r="13" spans="1:23" s="4" customFormat="1" ht="14.1" customHeight="1">
      <c r="A13" s="72" t="s">
        <v>116</v>
      </c>
      <c r="C13" s="75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/>
      <c r="V13" s="73"/>
      <c r="W13" s="354"/>
    </row>
    <row r="14" spans="1:23" s="4" customFormat="1" ht="14.1" customHeight="1">
      <c r="A14" s="166" t="s">
        <v>8</v>
      </c>
      <c r="B14" s="123" t="s">
        <v>137</v>
      </c>
      <c r="C14" s="169" t="s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/>
      <c r="V14" s="10">
        <f>SUM(D14:T14)</f>
        <v>0</v>
      </c>
      <c r="W14" s="353">
        <v>112</v>
      </c>
    </row>
    <row r="15" spans="1:23" s="4" customFormat="1" ht="14.1" customHeight="1">
      <c r="A15" s="166" t="s">
        <v>8</v>
      </c>
      <c r="B15" s="123" t="s">
        <v>11</v>
      </c>
      <c r="C15" s="169" t="s">
        <v>0</v>
      </c>
      <c r="D15" s="2">
        <v>23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/>
      <c r="V15" s="10">
        <f>SUM(D15:T15)</f>
        <v>23</v>
      </c>
      <c r="W15" s="353">
        <v>601</v>
      </c>
    </row>
    <row r="16" spans="1:23" s="4" customFormat="1" ht="14.1" customHeight="1">
      <c r="A16" s="166" t="s">
        <v>8</v>
      </c>
      <c r="B16" s="123" t="s">
        <v>12</v>
      </c>
      <c r="C16" s="321"/>
      <c r="D16" s="2">
        <v>3</v>
      </c>
      <c r="E16" s="2">
        <v>0</v>
      </c>
      <c r="F16" s="2">
        <v>14</v>
      </c>
      <c r="G16" s="2">
        <v>13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/>
      <c r="V16" s="10">
        <f>SUM(D16:T16)</f>
        <v>30</v>
      </c>
      <c r="W16" s="353">
        <v>111</v>
      </c>
    </row>
    <row r="17" spans="1:32" s="4" customFormat="1" ht="14.1" customHeight="1">
      <c r="A17" s="166"/>
      <c r="B17" s="123"/>
      <c r="C17" s="75" t="s">
        <v>18</v>
      </c>
      <c r="D17" s="209">
        <f t="shared" ref="D17:T17" si="2">SUM(D14:D16)</f>
        <v>26</v>
      </c>
      <c r="E17" s="209">
        <f t="shared" si="2"/>
        <v>0</v>
      </c>
      <c r="F17" s="209">
        <f t="shared" si="2"/>
        <v>14</v>
      </c>
      <c r="G17" s="209">
        <f t="shared" si="2"/>
        <v>13</v>
      </c>
      <c r="H17" s="209">
        <f t="shared" si="2"/>
        <v>0</v>
      </c>
      <c r="I17" s="209">
        <f t="shared" si="2"/>
        <v>0</v>
      </c>
      <c r="J17" s="209">
        <f t="shared" si="2"/>
        <v>0</v>
      </c>
      <c r="K17" s="209">
        <f t="shared" si="2"/>
        <v>0</v>
      </c>
      <c r="L17" s="209">
        <f t="shared" si="2"/>
        <v>0</v>
      </c>
      <c r="M17" s="209">
        <f t="shared" si="2"/>
        <v>0</v>
      </c>
      <c r="N17" s="209">
        <f t="shared" si="2"/>
        <v>0</v>
      </c>
      <c r="O17" s="209">
        <f t="shared" si="2"/>
        <v>0</v>
      </c>
      <c r="P17" s="209">
        <f t="shared" si="2"/>
        <v>0</v>
      </c>
      <c r="Q17" s="209">
        <f t="shared" si="2"/>
        <v>0</v>
      </c>
      <c r="R17" s="209">
        <f t="shared" si="2"/>
        <v>0</v>
      </c>
      <c r="S17" s="209">
        <f t="shared" si="2"/>
        <v>0</v>
      </c>
      <c r="T17" s="209">
        <f t="shared" si="2"/>
        <v>0</v>
      </c>
      <c r="U17"/>
      <c r="V17" s="73">
        <f>SUM(V14:V16)</f>
        <v>53</v>
      </c>
      <c r="W17" s="354"/>
    </row>
    <row r="18" spans="1:32" s="4" customFormat="1" ht="14.1" customHeight="1">
      <c r="A18" s="15"/>
      <c r="B18" s="71"/>
      <c r="C18" s="36" t="s">
        <v>13</v>
      </c>
      <c r="D18" s="14">
        <f>SUM(D12,D17)</f>
        <v>1139</v>
      </c>
      <c r="E18" s="14">
        <f>SUM(E12:E16)</f>
        <v>0</v>
      </c>
      <c r="F18" s="14">
        <f>SUM(F12:F16)</f>
        <v>24</v>
      </c>
      <c r="G18" s="14">
        <f>SUM(G12:G16)</f>
        <v>13</v>
      </c>
      <c r="H18" s="14">
        <f>SUM(H12:H16)</f>
        <v>0</v>
      </c>
      <c r="I18" s="14">
        <f>SUM(I12:I16)</f>
        <v>0</v>
      </c>
      <c r="J18" s="14">
        <f t="shared" ref="J18:P18" si="3">SUM(J12:J16)</f>
        <v>0</v>
      </c>
      <c r="K18" s="14">
        <f t="shared" si="3"/>
        <v>0</v>
      </c>
      <c r="L18" s="14">
        <f t="shared" si="3"/>
        <v>0</v>
      </c>
      <c r="M18" s="14">
        <f t="shared" si="3"/>
        <v>0</v>
      </c>
      <c r="N18" s="14">
        <f t="shared" si="3"/>
        <v>0</v>
      </c>
      <c r="O18" s="14">
        <f t="shared" si="3"/>
        <v>0</v>
      </c>
      <c r="P18" s="14">
        <f t="shared" si="3"/>
        <v>0</v>
      </c>
      <c r="Q18" s="14">
        <f>SUM(Q12:Q16)</f>
        <v>0</v>
      </c>
      <c r="R18" s="14">
        <f>SUM(R12:R16)</f>
        <v>0</v>
      </c>
      <c r="S18" s="14">
        <f>SUM(S12:S16)</f>
        <v>0</v>
      </c>
      <c r="T18" s="14">
        <f>SUM(T12:T16)</f>
        <v>0</v>
      </c>
      <c r="U18"/>
      <c r="V18" s="14">
        <f>SUM(V12:V16)</f>
        <v>1176</v>
      </c>
      <c r="W18" s="353"/>
    </row>
    <row r="19" spans="1:32" s="4" customFormat="1" ht="14.1" customHeight="1">
      <c r="A19" s="38" t="s">
        <v>14</v>
      </c>
      <c r="B19" s="39"/>
      <c r="C19" s="4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/>
      <c r="V19" s="10"/>
      <c r="W19" s="353"/>
    </row>
    <row r="20" spans="1:32" s="74" customFormat="1" ht="14.1" customHeight="1">
      <c r="A20" s="208" t="s">
        <v>134</v>
      </c>
      <c r="B20" s="31"/>
      <c r="C20" s="3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/>
      <c r="V20" s="10"/>
      <c r="W20" s="353"/>
    </row>
    <row r="21" spans="1:32" s="74" customFormat="1" ht="14.1" customHeight="1">
      <c r="A21" s="72"/>
      <c r="B21" s="123" t="s">
        <v>15</v>
      </c>
      <c r="C21" s="169" t="s">
        <v>0</v>
      </c>
      <c r="D21" s="2">
        <v>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/>
      <c r="V21" s="10">
        <f t="shared" ref="V21:V27" si="4">SUM(D21:T21)</f>
        <v>6</v>
      </c>
      <c r="W21" s="353">
        <v>202</v>
      </c>
    </row>
    <row r="22" spans="1:32" s="74" customFormat="1" ht="14.1" customHeight="1">
      <c r="A22" s="72"/>
      <c r="B22" s="123" t="s">
        <v>16</v>
      </c>
      <c r="C22" s="169" t="s">
        <v>0</v>
      </c>
      <c r="D22" s="2">
        <v>25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/>
      <c r="V22" s="10">
        <f t="shared" si="4"/>
        <v>25</v>
      </c>
      <c r="W22" s="353">
        <v>203</v>
      </c>
    </row>
    <row r="23" spans="1:32" s="74" customFormat="1" ht="14.1" customHeight="1">
      <c r="A23" s="72"/>
      <c r="B23" s="123" t="s">
        <v>187</v>
      </c>
      <c r="C23" s="169" t="s">
        <v>0</v>
      </c>
      <c r="D23" s="2">
        <v>10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/>
      <c r="V23" s="10">
        <f t="shared" si="4"/>
        <v>10</v>
      </c>
      <c r="W23" s="353" t="s">
        <v>189</v>
      </c>
    </row>
    <row r="24" spans="1:32" s="74" customFormat="1" ht="14.1" customHeight="1">
      <c r="A24" s="72"/>
      <c r="B24" s="123" t="s">
        <v>188</v>
      </c>
      <c r="C24" s="169" t="s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/>
      <c r="V24" s="10">
        <f t="shared" si="4"/>
        <v>0</v>
      </c>
      <c r="W24" s="353" t="s">
        <v>190</v>
      </c>
    </row>
    <row r="25" spans="1:32" s="74" customFormat="1" ht="14.1" customHeight="1">
      <c r="A25" s="72"/>
      <c r="B25" s="123" t="s">
        <v>17</v>
      </c>
      <c r="C25" s="169" t="s">
        <v>0</v>
      </c>
      <c r="D25" s="2">
        <v>20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/>
      <c r="V25" s="10">
        <f t="shared" si="4"/>
        <v>20</v>
      </c>
      <c r="W25" s="353" t="s">
        <v>192</v>
      </c>
    </row>
    <row r="26" spans="1:32" s="74" customFormat="1" ht="14.1" customHeight="1">
      <c r="A26" s="72"/>
      <c r="B26" s="123" t="s">
        <v>191</v>
      </c>
      <c r="C26" s="169" t="s">
        <v>0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/>
      <c r="V26" s="10">
        <f t="shared" si="4"/>
        <v>1</v>
      </c>
      <c r="W26" s="353" t="s">
        <v>193</v>
      </c>
    </row>
    <row r="27" spans="1:32" s="74" customFormat="1" ht="14.1" customHeight="1">
      <c r="A27" s="72"/>
      <c r="B27" s="123" t="s">
        <v>26</v>
      </c>
      <c r="C27" s="169" t="s">
        <v>0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/>
      <c r="V27" s="10">
        <f t="shared" si="4"/>
        <v>1</v>
      </c>
      <c r="W27" s="353" t="s">
        <v>194</v>
      </c>
    </row>
    <row r="28" spans="1:32" s="74" customFormat="1" ht="14.1" customHeight="1">
      <c r="A28" s="166" t="s">
        <v>10</v>
      </c>
      <c r="B28" s="31"/>
      <c r="C28" s="75" t="s">
        <v>18</v>
      </c>
      <c r="D28" s="73">
        <f t="shared" ref="D28:P28" si="5">SUM(D20:D27)</f>
        <v>63</v>
      </c>
      <c r="E28" s="73">
        <f t="shared" si="5"/>
        <v>0</v>
      </c>
      <c r="F28" s="73">
        <f t="shared" si="5"/>
        <v>0</v>
      </c>
      <c r="G28" s="73">
        <f t="shared" si="5"/>
        <v>0</v>
      </c>
      <c r="H28" s="73">
        <f t="shared" si="5"/>
        <v>0</v>
      </c>
      <c r="I28" s="73">
        <f t="shared" si="5"/>
        <v>0</v>
      </c>
      <c r="J28" s="73">
        <f t="shared" si="5"/>
        <v>0</v>
      </c>
      <c r="K28" s="73">
        <f t="shared" si="5"/>
        <v>0</v>
      </c>
      <c r="L28" s="73">
        <f t="shared" si="5"/>
        <v>0</v>
      </c>
      <c r="M28" s="73">
        <f t="shared" si="5"/>
        <v>0</v>
      </c>
      <c r="N28" s="73">
        <f t="shared" si="5"/>
        <v>0</v>
      </c>
      <c r="O28" s="73">
        <f t="shared" si="5"/>
        <v>0</v>
      </c>
      <c r="P28" s="73">
        <f t="shared" si="5"/>
        <v>0</v>
      </c>
      <c r="Q28" s="73">
        <f>SUM(Q20:Q27)</f>
        <v>0</v>
      </c>
      <c r="R28" s="73">
        <f>SUM(R20:R27)</f>
        <v>0</v>
      </c>
      <c r="S28" s="73">
        <f>SUM(S20:S27)</f>
        <v>0</v>
      </c>
      <c r="T28" s="73">
        <f>SUM(T20:T27)</f>
        <v>0</v>
      </c>
      <c r="U28"/>
      <c r="V28" s="73">
        <f>SUM(V19:V27)</f>
        <v>63</v>
      </c>
      <c r="W28" s="354"/>
    </row>
    <row r="29" spans="1:32" s="4" customFormat="1" ht="14.1" customHeight="1">
      <c r="A29" s="208" t="s">
        <v>135</v>
      </c>
      <c r="B29" s="31"/>
      <c r="C29" s="33"/>
      <c r="D29" s="142"/>
      <c r="E29" s="142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314"/>
      <c r="V29" s="142"/>
      <c r="W29" s="353"/>
      <c r="X29" s="146"/>
      <c r="Y29" s="146"/>
      <c r="Z29" s="146"/>
      <c r="AA29" s="146"/>
      <c r="AB29" s="146"/>
      <c r="AC29" s="146"/>
      <c r="AD29" s="146"/>
      <c r="AE29" s="146"/>
      <c r="AF29" s="146"/>
    </row>
    <row r="30" spans="1:32" s="4" customFormat="1" ht="14.1" customHeight="1">
      <c r="A30" s="11"/>
      <c r="B30" s="123" t="s">
        <v>15</v>
      </c>
      <c r="C30" s="169" t="s">
        <v>0</v>
      </c>
      <c r="D30" s="2">
        <v>11</v>
      </c>
      <c r="E30" s="2">
        <v>0</v>
      </c>
      <c r="F30" s="2">
        <v>15</v>
      </c>
      <c r="G30" s="2"/>
      <c r="H30" s="2">
        <v>12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/>
      <c r="V30" s="10">
        <f t="shared" ref="V30:V36" si="6">SUM(D30:T30)</f>
        <v>38</v>
      </c>
      <c r="W30" s="353">
        <v>212</v>
      </c>
    </row>
    <row r="31" spans="1:32" s="4" customFormat="1" ht="14.1" customHeight="1">
      <c r="A31" s="11"/>
      <c r="B31" s="123" t="s">
        <v>16</v>
      </c>
      <c r="C31" s="169" t="s">
        <v>0</v>
      </c>
      <c r="D31" s="2">
        <v>0</v>
      </c>
      <c r="E31" s="2">
        <v>0</v>
      </c>
      <c r="F31" s="2">
        <v>0</v>
      </c>
      <c r="G31" s="2">
        <v>8</v>
      </c>
      <c r="H31" s="2">
        <v>8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/>
      <c r="V31" s="10">
        <f t="shared" si="6"/>
        <v>16</v>
      </c>
      <c r="W31" s="353">
        <v>213</v>
      </c>
    </row>
    <row r="32" spans="1:32" s="4" customFormat="1" ht="14.1" customHeight="1">
      <c r="A32" s="11"/>
      <c r="B32" s="123" t="s">
        <v>162</v>
      </c>
      <c r="C32" s="169" t="s">
        <v>0</v>
      </c>
      <c r="D32" s="2">
        <v>7</v>
      </c>
      <c r="E32" s="2">
        <v>0</v>
      </c>
      <c r="F32" s="2">
        <v>10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/>
      <c r="V32" s="10">
        <f t="shared" si="6"/>
        <v>17</v>
      </c>
      <c r="W32" s="353">
        <v>211</v>
      </c>
    </row>
    <row r="33" spans="1:23" s="4" customFormat="1" ht="14.1" customHeight="1">
      <c r="A33" s="11"/>
      <c r="B33" s="123" t="s">
        <v>17</v>
      </c>
      <c r="C33" s="169" t="s">
        <v>0</v>
      </c>
      <c r="D33" s="2">
        <v>0</v>
      </c>
      <c r="E33" s="2">
        <v>0</v>
      </c>
      <c r="F33" s="2">
        <v>0</v>
      </c>
      <c r="G33" s="2">
        <v>35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/>
      <c r="V33" s="10">
        <f t="shared" si="6"/>
        <v>35</v>
      </c>
      <c r="W33" s="353">
        <v>214</v>
      </c>
    </row>
    <row r="34" spans="1:23" s="4" customFormat="1" ht="14.1" customHeight="1">
      <c r="A34" s="11"/>
      <c r="B34" s="123" t="s">
        <v>249</v>
      </c>
      <c r="C34" s="169" t="s">
        <v>0</v>
      </c>
      <c r="D34" s="2">
        <v>4</v>
      </c>
      <c r="E34" s="2">
        <v>0</v>
      </c>
      <c r="F34" s="2">
        <v>0</v>
      </c>
      <c r="G34" s="2">
        <v>0</v>
      </c>
      <c r="H34" s="2">
        <v>24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/>
      <c r="V34" s="10">
        <f t="shared" si="6"/>
        <v>28</v>
      </c>
      <c r="W34" s="353">
        <v>214</v>
      </c>
    </row>
    <row r="35" spans="1:23" s="4" customFormat="1" ht="14.1" customHeight="1">
      <c r="A35" s="11"/>
      <c r="B35" s="123" t="s">
        <v>141</v>
      </c>
      <c r="C35" s="169" t="s">
        <v>0</v>
      </c>
      <c r="D35" s="2">
        <v>19</v>
      </c>
      <c r="E35" s="2">
        <v>0</v>
      </c>
      <c r="F35" s="2">
        <v>0</v>
      </c>
      <c r="G35" s="2">
        <v>0</v>
      </c>
      <c r="H35" s="2">
        <v>10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/>
      <c r="V35" s="10">
        <f t="shared" si="6"/>
        <v>29</v>
      </c>
      <c r="W35" s="353">
        <v>216</v>
      </c>
    </row>
    <row r="36" spans="1:23" s="4" customFormat="1" ht="14.1" customHeight="1">
      <c r="A36" s="11"/>
      <c r="B36" s="123" t="s">
        <v>19</v>
      </c>
      <c r="C36" s="169" t="s">
        <v>0</v>
      </c>
      <c r="D36" s="2">
        <v>0</v>
      </c>
      <c r="E36" s="2">
        <v>0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/>
      <c r="V36" s="10">
        <f t="shared" si="6"/>
        <v>1</v>
      </c>
      <c r="W36" s="353" t="s">
        <v>195</v>
      </c>
    </row>
    <row r="37" spans="1:23" s="4" customFormat="1" ht="14.1" customHeight="1">
      <c r="A37" s="166" t="s">
        <v>8</v>
      </c>
      <c r="B37" s="30"/>
      <c r="C37" s="75" t="s">
        <v>18</v>
      </c>
      <c r="D37" s="73">
        <f t="shared" ref="D37:I37" si="7">SUM(D29:D36)</f>
        <v>41</v>
      </c>
      <c r="E37" s="73">
        <f t="shared" si="7"/>
        <v>0</v>
      </c>
      <c r="F37" s="73">
        <f t="shared" si="7"/>
        <v>25</v>
      </c>
      <c r="G37" s="73">
        <f t="shared" si="7"/>
        <v>44</v>
      </c>
      <c r="H37" s="73">
        <f t="shared" si="7"/>
        <v>54</v>
      </c>
      <c r="I37" s="73">
        <f t="shared" si="7"/>
        <v>0</v>
      </c>
      <c r="J37" s="73">
        <f t="shared" ref="J37:O37" si="8">SUM(J29:J36)</f>
        <v>0</v>
      </c>
      <c r="K37" s="73">
        <f t="shared" si="8"/>
        <v>0</v>
      </c>
      <c r="L37" s="73">
        <f t="shared" si="8"/>
        <v>0</v>
      </c>
      <c r="M37" s="73">
        <f t="shared" si="8"/>
        <v>0</v>
      </c>
      <c r="N37" s="73">
        <f t="shared" si="8"/>
        <v>0</v>
      </c>
      <c r="O37" s="73">
        <f t="shared" si="8"/>
        <v>0</v>
      </c>
      <c r="P37" s="73">
        <f>SUM(P29:P36)</f>
        <v>0</v>
      </c>
      <c r="Q37" s="73">
        <f>SUM(Q29:Q36)</f>
        <v>0</v>
      </c>
      <c r="R37" s="73">
        <f>SUM(R29:R36)</f>
        <v>0</v>
      </c>
      <c r="S37" s="73">
        <f>SUM(S29:S36)</f>
        <v>0</v>
      </c>
      <c r="T37" s="73">
        <f>SUM(T29:T36)</f>
        <v>0</v>
      </c>
      <c r="U37"/>
      <c r="V37" s="73">
        <f>SUM(V29:V36)</f>
        <v>164</v>
      </c>
      <c r="W37" s="354"/>
    </row>
    <row r="38" spans="1:23" s="4" customFormat="1" ht="14.1" customHeight="1">
      <c r="A38" s="15"/>
      <c r="B38" s="71"/>
      <c r="C38" s="36" t="s">
        <v>20</v>
      </c>
      <c r="D38" s="14">
        <f t="shared" ref="D38:I38" si="9">SUM(D28,D37)</f>
        <v>104</v>
      </c>
      <c r="E38" s="14">
        <f t="shared" si="9"/>
        <v>0</v>
      </c>
      <c r="F38" s="14">
        <f t="shared" si="9"/>
        <v>25</v>
      </c>
      <c r="G38" s="14">
        <f t="shared" si="9"/>
        <v>44</v>
      </c>
      <c r="H38" s="14">
        <f t="shared" si="9"/>
        <v>54</v>
      </c>
      <c r="I38" s="14">
        <f t="shared" si="9"/>
        <v>0</v>
      </c>
      <c r="J38" s="14">
        <f t="shared" ref="J38:O38" si="10">SUM(J28,J37)</f>
        <v>0</v>
      </c>
      <c r="K38" s="14">
        <f t="shared" si="10"/>
        <v>0</v>
      </c>
      <c r="L38" s="14">
        <f t="shared" si="10"/>
        <v>0</v>
      </c>
      <c r="M38" s="14">
        <f t="shared" si="10"/>
        <v>0</v>
      </c>
      <c r="N38" s="14">
        <f t="shared" si="10"/>
        <v>0</v>
      </c>
      <c r="O38" s="14">
        <f t="shared" si="10"/>
        <v>0</v>
      </c>
      <c r="P38" s="14">
        <f>SUM(P28,P37)</f>
        <v>0</v>
      </c>
      <c r="Q38" s="14">
        <f>SUM(Q28,Q37)</f>
        <v>0</v>
      </c>
      <c r="R38" s="14">
        <f>SUM(R28,R37)</f>
        <v>0</v>
      </c>
      <c r="S38" s="14">
        <f>SUM(S28,S37)</f>
        <v>0</v>
      </c>
      <c r="T38" s="14">
        <f>SUM(T28,T37)</f>
        <v>0</v>
      </c>
      <c r="U38"/>
      <c r="V38" s="14">
        <f>SUM(V28,V37)</f>
        <v>227</v>
      </c>
      <c r="W38" s="353"/>
    </row>
    <row r="39" spans="1:23" s="4" customFormat="1" ht="14.1" customHeight="1">
      <c r="A39" s="38" t="s">
        <v>21</v>
      </c>
      <c r="B39" s="39"/>
      <c r="C39" s="4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/>
      <c r="V39" s="10"/>
      <c r="W39" s="353"/>
    </row>
    <row r="40" spans="1:23" s="4" customFormat="1" ht="14.1" customHeight="1">
      <c r="A40" s="137" t="s">
        <v>181</v>
      </c>
      <c r="B40" s="31"/>
      <c r="C40" s="16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/>
      <c r="V40" s="10"/>
      <c r="W40" s="353"/>
    </row>
    <row r="41" spans="1:23" s="4" customFormat="1" ht="14.1" customHeight="1">
      <c r="A41" s="15"/>
      <c r="B41" s="123" t="s">
        <v>182</v>
      </c>
      <c r="C41" s="169" t="s">
        <v>0</v>
      </c>
      <c r="D41" s="2">
        <v>396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/>
      <c r="V41" s="10">
        <f>SUM(D41:T41)</f>
        <v>396</v>
      </c>
      <c r="W41" s="353" t="s">
        <v>198</v>
      </c>
    </row>
    <row r="42" spans="1:23" s="4" customFormat="1" ht="14.1" customHeight="1">
      <c r="A42" s="15"/>
      <c r="B42" s="123" t="s">
        <v>196</v>
      </c>
      <c r="C42" s="169" t="s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/>
      <c r="V42" s="10">
        <f>SUM(D42:T42)</f>
        <v>0</v>
      </c>
      <c r="W42" s="353" t="s">
        <v>198</v>
      </c>
    </row>
    <row r="43" spans="1:23" s="4" customFormat="1" ht="14.1" customHeight="1">
      <c r="A43" s="15"/>
      <c r="B43" s="123" t="s">
        <v>224</v>
      </c>
      <c r="C43" s="169" t="s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/>
      <c r="V43" s="10">
        <f>SUM(D43:T43)</f>
        <v>0</v>
      </c>
      <c r="W43" s="353"/>
    </row>
    <row r="44" spans="1:23" s="4" customFormat="1" ht="14.1" customHeight="1">
      <c r="A44" s="15"/>
      <c r="B44" s="123" t="s">
        <v>225</v>
      </c>
      <c r="C44" s="169" t="s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/>
      <c r="V44" s="10">
        <f>SUM(D44:T44)</f>
        <v>0</v>
      </c>
      <c r="W44" s="353"/>
    </row>
    <row r="45" spans="1:23" s="4" customFormat="1" ht="14.1" customHeight="1">
      <c r="A45" s="15"/>
      <c r="B45" s="123" t="s">
        <v>197</v>
      </c>
      <c r="C45" s="169" t="s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/>
      <c r="V45" s="10">
        <f>SUM(D45:T45)</f>
        <v>0</v>
      </c>
      <c r="W45" s="353" t="s">
        <v>199</v>
      </c>
    </row>
    <row r="46" spans="1:23" s="74" customFormat="1" ht="14.1" customHeight="1">
      <c r="A46" s="166" t="s">
        <v>8</v>
      </c>
      <c r="B46" s="76"/>
      <c r="C46" s="75" t="s">
        <v>18</v>
      </c>
      <c r="D46" s="73">
        <f t="shared" ref="D46:T46" si="11">SUM(D40:D45)</f>
        <v>396</v>
      </c>
      <c r="E46" s="73">
        <f t="shared" si="11"/>
        <v>0</v>
      </c>
      <c r="F46" s="73">
        <f t="shared" si="11"/>
        <v>0</v>
      </c>
      <c r="G46" s="73">
        <f t="shared" si="11"/>
        <v>0</v>
      </c>
      <c r="H46" s="73">
        <f t="shared" si="11"/>
        <v>0</v>
      </c>
      <c r="I46" s="73">
        <f t="shared" si="11"/>
        <v>0</v>
      </c>
      <c r="J46" s="73">
        <f t="shared" si="11"/>
        <v>0</v>
      </c>
      <c r="K46" s="73">
        <f t="shared" si="11"/>
        <v>0</v>
      </c>
      <c r="L46" s="73">
        <f t="shared" si="11"/>
        <v>0</v>
      </c>
      <c r="M46" s="73">
        <f t="shared" si="11"/>
        <v>0</v>
      </c>
      <c r="N46" s="73">
        <f t="shared" si="11"/>
        <v>0</v>
      </c>
      <c r="O46" s="73">
        <f t="shared" si="11"/>
        <v>0</v>
      </c>
      <c r="P46" s="73">
        <f t="shared" si="11"/>
        <v>0</v>
      </c>
      <c r="Q46" s="73">
        <f t="shared" si="11"/>
        <v>0</v>
      </c>
      <c r="R46" s="73">
        <f t="shared" si="11"/>
        <v>0</v>
      </c>
      <c r="S46" s="73">
        <f t="shared" si="11"/>
        <v>0</v>
      </c>
      <c r="T46" s="73">
        <f t="shared" si="11"/>
        <v>0</v>
      </c>
      <c r="U46"/>
      <c r="V46" s="73">
        <f>SUM(V40:V45)</f>
        <v>396</v>
      </c>
      <c r="W46" s="354"/>
    </row>
    <row r="47" spans="1:23" s="74" customFormat="1" ht="14.1" customHeight="1">
      <c r="A47" s="137" t="s">
        <v>22</v>
      </c>
      <c r="B47" s="31"/>
      <c r="C47" s="169"/>
      <c r="D47" s="10"/>
      <c r="E47" s="10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/>
      <c r="V47" s="73"/>
      <c r="W47" s="354"/>
    </row>
    <row r="48" spans="1:23" s="74" customFormat="1" ht="14.1" customHeight="1">
      <c r="A48" s="15"/>
      <c r="B48" s="123" t="s">
        <v>166</v>
      </c>
      <c r="C48" s="169" t="s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/>
      <c r="V48" s="10">
        <f>SUM(D48:T48)</f>
        <v>0</v>
      </c>
      <c r="W48" s="353">
        <v>301</v>
      </c>
    </row>
    <row r="49" spans="1:23" s="74" customFormat="1" ht="14.1" customHeight="1">
      <c r="A49" s="15"/>
      <c r="B49" s="123" t="s">
        <v>183</v>
      </c>
      <c r="C49" s="169" t="s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/>
      <c r="V49" s="10">
        <f>SUM(D49:T49)</f>
        <v>0</v>
      </c>
      <c r="W49" s="353">
        <v>301</v>
      </c>
    </row>
    <row r="50" spans="1:23" s="74" customFormat="1" ht="14.1" customHeight="1">
      <c r="A50" s="15"/>
      <c r="B50" s="123" t="s">
        <v>224</v>
      </c>
      <c r="C50" s="169" t="s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/>
      <c r="V50" s="10">
        <f>SUM(D50:T50)</f>
        <v>0</v>
      </c>
      <c r="W50" s="353"/>
    </row>
    <row r="51" spans="1:23" s="74" customFormat="1" ht="14.1" customHeight="1">
      <c r="A51" s="15"/>
      <c r="B51" s="123" t="s">
        <v>226</v>
      </c>
      <c r="C51" s="169" t="s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/>
      <c r="V51" s="10">
        <f>SUM(D51:T51)</f>
        <v>0</v>
      </c>
      <c r="W51" s="353"/>
    </row>
    <row r="52" spans="1:23" s="74" customFormat="1" ht="14.1" customHeight="1">
      <c r="A52" s="15"/>
      <c r="B52" s="123" t="s">
        <v>153</v>
      </c>
      <c r="C52" s="169" t="s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/>
      <c r="V52" s="10">
        <f>SUM(D52:T52)</f>
        <v>0</v>
      </c>
      <c r="W52" s="353">
        <v>301</v>
      </c>
    </row>
    <row r="53" spans="1:23" s="74" customFormat="1" ht="14.1" customHeight="1">
      <c r="A53" s="166" t="s">
        <v>8</v>
      </c>
      <c r="B53" s="76"/>
      <c r="C53" s="75" t="s">
        <v>18</v>
      </c>
      <c r="D53" s="73">
        <f t="shared" ref="D53:T53" si="12">SUM(D47:D52)</f>
        <v>0</v>
      </c>
      <c r="E53" s="73">
        <f t="shared" si="12"/>
        <v>0</v>
      </c>
      <c r="F53" s="73">
        <f t="shared" si="12"/>
        <v>0</v>
      </c>
      <c r="G53" s="73">
        <f t="shared" si="12"/>
        <v>0</v>
      </c>
      <c r="H53" s="73">
        <f t="shared" si="12"/>
        <v>0</v>
      </c>
      <c r="I53" s="73">
        <f t="shared" si="12"/>
        <v>0</v>
      </c>
      <c r="J53" s="73">
        <f t="shared" si="12"/>
        <v>0</v>
      </c>
      <c r="K53" s="73">
        <f t="shared" si="12"/>
        <v>0</v>
      </c>
      <c r="L53" s="73">
        <f t="shared" si="12"/>
        <v>0</v>
      </c>
      <c r="M53" s="73">
        <f t="shared" si="12"/>
        <v>0</v>
      </c>
      <c r="N53" s="73">
        <f t="shared" si="12"/>
        <v>0</v>
      </c>
      <c r="O53" s="73">
        <f t="shared" si="12"/>
        <v>0</v>
      </c>
      <c r="P53" s="73">
        <f t="shared" si="12"/>
        <v>0</v>
      </c>
      <c r="Q53" s="73">
        <f t="shared" si="12"/>
        <v>0</v>
      </c>
      <c r="R53" s="73">
        <f t="shared" si="12"/>
        <v>0</v>
      </c>
      <c r="S53" s="73">
        <f t="shared" si="12"/>
        <v>0</v>
      </c>
      <c r="T53" s="73">
        <f t="shared" si="12"/>
        <v>0</v>
      </c>
      <c r="U53"/>
      <c r="V53" s="73">
        <f>SUM(V47:V52)</f>
        <v>0</v>
      </c>
      <c r="W53" s="354"/>
    </row>
    <row r="54" spans="1:23" s="74" customFormat="1" ht="14.1" customHeight="1">
      <c r="A54" s="137" t="s">
        <v>149</v>
      </c>
      <c r="B54" s="31"/>
      <c r="C54" s="169"/>
      <c r="D54" s="10"/>
      <c r="E54" s="10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/>
      <c r="V54" s="73"/>
      <c r="W54" s="354"/>
    </row>
    <row r="55" spans="1:23" s="74" customFormat="1" ht="14.1" customHeight="1">
      <c r="A55" s="15"/>
      <c r="B55" s="123" t="s">
        <v>133</v>
      </c>
      <c r="C55" s="169" t="s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/>
      <c r="V55" s="10">
        <f>SUM(D55:T55)</f>
        <v>0</v>
      </c>
      <c r="W55" s="353">
        <v>311</v>
      </c>
    </row>
    <row r="56" spans="1:23" s="74" customFormat="1" ht="14.1" customHeight="1">
      <c r="A56" s="15"/>
      <c r="B56" s="123" t="s">
        <v>184</v>
      </c>
      <c r="C56" s="169" t="s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/>
      <c r="V56" s="10">
        <f>SUM(D56:T56)</f>
        <v>0</v>
      </c>
      <c r="W56" s="353">
        <v>311</v>
      </c>
    </row>
    <row r="57" spans="1:23" s="74" customFormat="1" ht="14.1" customHeight="1">
      <c r="A57" s="15"/>
      <c r="B57" s="123" t="s">
        <v>224</v>
      </c>
      <c r="C57" s="169" t="s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/>
      <c r="V57" s="10">
        <f>SUM(D57:T57)</f>
        <v>0</v>
      </c>
      <c r="W57" s="353"/>
    </row>
    <row r="58" spans="1:23" s="74" customFormat="1" ht="14.1" customHeight="1">
      <c r="A58" s="15"/>
      <c r="B58" s="123" t="s">
        <v>226</v>
      </c>
      <c r="C58" s="169" t="s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/>
      <c r="V58" s="10">
        <f>SUM(D58:T58)</f>
        <v>0</v>
      </c>
      <c r="W58" s="353"/>
    </row>
    <row r="59" spans="1:23" s="74" customFormat="1" ht="14.1" customHeight="1">
      <c r="A59" s="15"/>
      <c r="B59" s="123" t="s">
        <v>154</v>
      </c>
      <c r="C59" s="169" t="s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/>
      <c r="V59" s="10">
        <f>SUM(D59:T59)</f>
        <v>0</v>
      </c>
      <c r="W59" s="353">
        <v>311</v>
      </c>
    </row>
    <row r="60" spans="1:23" s="74" customFormat="1" ht="14.1" customHeight="1">
      <c r="A60" s="166" t="s">
        <v>8</v>
      </c>
      <c r="B60" s="76"/>
      <c r="C60" s="75" t="s">
        <v>18</v>
      </c>
      <c r="D60" s="73">
        <f t="shared" ref="D60:T60" si="13">SUM(D54:D59)</f>
        <v>0</v>
      </c>
      <c r="E60" s="73">
        <f t="shared" si="13"/>
        <v>0</v>
      </c>
      <c r="F60" s="73">
        <f t="shared" si="13"/>
        <v>0</v>
      </c>
      <c r="G60" s="73">
        <f t="shared" si="13"/>
        <v>0</v>
      </c>
      <c r="H60" s="73">
        <f t="shared" si="13"/>
        <v>0</v>
      </c>
      <c r="I60" s="73">
        <f t="shared" si="13"/>
        <v>0</v>
      </c>
      <c r="J60" s="73">
        <f t="shared" si="13"/>
        <v>0</v>
      </c>
      <c r="K60" s="73">
        <f t="shared" si="13"/>
        <v>0</v>
      </c>
      <c r="L60" s="73">
        <f t="shared" si="13"/>
        <v>0</v>
      </c>
      <c r="M60" s="73">
        <f t="shared" si="13"/>
        <v>0</v>
      </c>
      <c r="N60" s="73">
        <f t="shared" si="13"/>
        <v>0</v>
      </c>
      <c r="O60" s="73">
        <f t="shared" si="13"/>
        <v>0</v>
      </c>
      <c r="P60" s="73">
        <f t="shared" si="13"/>
        <v>0</v>
      </c>
      <c r="Q60" s="73">
        <f t="shared" si="13"/>
        <v>0</v>
      </c>
      <c r="R60" s="73">
        <f t="shared" si="13"/>
        <v>0</v>
      </c>
      <c r="S60" s="73">
        <f t="shared" si="13"/>
        <v>0</v>
      </c>
      <c r="T60" s="73">
        <f t="shared" si="13"/>
        <v>0</v>
      </c>
      <c r="U60"/>
      <c r="V60" s="73">
        <f>SUM(V54:V59)</f>
        <v>0</v>
      </c>
      <c r="W60" s="354"/>
    </row>
    <row r="61" spans="1:23" s="4" customFormat="1" ht="14.1" customHeight="1">
      <c r="A61" s="141" t="s">
        <v>131</v>
      </c>
      <c r="B61" s="77"/>
      <c r="C61" s="169"/>
      <c r="D61" s="7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/>
      <c r="V61" s="10"/>
      <c r="W61" s="353"/>
    </row>
    <row r="62" spans="1:23" s="4" customFormat="1" ht="14.1" customHeight="1">
      <c r="A62" s="17"/>
      <c r="B62" s="123" t="s">
        <v>252</v>
      </c>
      <c r="C62" s="169" t="s">
        <v>0</v>
      </c>
      <c r="D62" s="2">
        <v>1000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1200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/>
      <c r="V62" s="10">
        <f>SUM(D62:T62)</f>
        <v>2200</v>
      </c>
      <c r="W62" s="353">
        <v>321</v>
      </c>
    </row>
    <row r="63" spans="1:23" s="4" customFormat="1" ht="14.1" customHeight="1">
      <c r="A63" s="17"/>
      <c r="B63" s="123" t="s">
        <v>251</v>
      </c>
      <c r="C63" s="169" t="s">
        <v>0</v>
      </c>
      <c r="D63" s="2">
        <v>279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/>
      <c r="V63" s="10">
        <f>SUM(D63:T63)</f>
        <v>279</v>
      </c>
      <c r="W63" s="353">
        <v>321</v>
      </c>
    </row>
    <row r="64" spans="1:23" s="4" customFormat="1" ht="14.1" customHeight="1">
      <c r="A64" s="17"/>
      <c r="B64" s="123" t="s">
        <v>138</v>
      </c>
      <c r="C64" s="169" t="s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/>
      <c r="V64" s="10">
        <f>SUM(D64:T64)</f>
        <v>0</v>
      </c>
      <c r="W64" s="353">
        <v>321</v>
      </c>
    </row>
    <row r="65" spans="1:25" s="4" customFormat="1" ht="14.1" customHeight="1">
      <c r="A65" s="17"/>
      <c r="B65" s="123" t="s">
        <v>259</v>
      </c>
      <c r="C65" s="169" t="s">
        <v>0</v>
      </c>
      <c r="D65" s="2">
        <v>6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/>
      <c r="V65" s="10">
        <f>SUM(D65:T65)</f>
        <v>6</v>
      </c>
      <c r="W65" s="353">
        <v>321</v>
      </c>
    </row>
    <row r="66" spans="1:25" s="4" customFormat="1" ht="14.1" customHeight="1">
      <c r="A66" s="17"/>
      <c r="B66" s="123" t="s">
        <v>139</v>
      </c>
      <c r="C66" s="169" t="s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/>
      <c r="V66" s="10">
        <f>SUM(D66:T66)</f>
        <v>0</v>
      </c>
      <c r="W66" s="353" t="s">
        <v>200</v>
      </c>
    </row>
    <row r="67" spans="1:25" s="178" customFormat="1" ht="14.1" customHeight="1">
      <c r="A67" s="166" t="s">
        <v>8</v>
      </c>
      <c r="B67" s="76"/>
      <c r="C67" s="75" t="s">
        <v>18</v>
      </c>
      <c r="D67" s="73">
        <f>SUM(D61:D66)</f>
        <v>1285</v>
      </c>
      <c r="E67" s="29">
        <f>SUM(E62:E66)</f>
        <v>0</v>
      </c>
      <c r="F67" s="29">
        <f>SUM(F62:F66)</f>
        <v>0</v>
      </c>
      <c r="G67" s="29">
        <f>SUM(G62:G66)</f>
        <v>0</v>
      </c>
      <c r="H67" s="29">
        <f>SUM(H62:H66)</f>
        <v>0</v>
      </c>
      <c r="I67" s="73">
        <f>SUM(I62:I66)</f>
        <v>0</v>
      </c>
      <c r="J67" s="73">
        <f t="shared" ref="J67:P67" si="14">SUM(J62:J66)</f>
        <v>0</v>
      </c>
      <c r="K67" s="29">
        <f t="shared" si="14"/>
        <v>0</v>
      </c>
      <c r="L67" s="29">
        <f t="shared" si="14"/>
        <v>1200</v>
      </c>
      <c r="M67" s="29">
        <f t="shared" si="14"/>
        <v>0</v>
      </c>
      <c r="N67" s="29">
        <f t="shared" si="14"/>
        <v>0</v>
      </c>
      <c r="O67" s="29">
        <f t="shared" si="14"/>
        <v>0</v>
      </c>
      <c r="P67" s="29">
        <f t="shared" si="14"/>
        <v>0</v>
      </c>
      <c r="Q67" s="29">
        <f>SUM(Q62:Q66)</f>
        <v>0</v>
      </c>
      <c r="R67" s="29">
        <f>SUM(R62:R66)</f>
        <v>0</v>
      </c>
      <c r="S67" s="29">
        <f>SUM(S62:S66)</f>
        <v>0</v>
      </c>
      <c r="T67" s="73">
        <f>SUM(T62:T66)</f>
        <v>0</v>
      </c>
      <c r="U67"/>
      <c r="V67" s="73">
        <f>SUM(V62:V66)</f>
        <v>2485</v>
      </c>
      <c r="W67" s="354"/>
    </row>
    <row r="68" spans="1:25" s="74" customFormat="1" ht="14.1" customHeight="1">
      <c r="A68" s="141" t="s">
        <v>132</v>
      </c>
      <c r="B68" s="77"/>
      <c r="C68" s="169"/>
      <c r="D68" s="10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/>
      <c r="V68" s="73"/>
      <c r="W68" s="354"/>
    </row>
    <row r="69" spans="1:25" s="4" customFormat="1" ht="14.1" customHeight="1">
      <c r="A69" s="15"/>
      <c r="B69" s="123" t="s">
        <v>250</v>
      </c>
      <c r="C69" s="169" t="s">
        <v>0</v>
      </c>
      <c r="D69" s="2">
        <v>275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120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/>
      <c r="V69" s="10">
        <f>SUM(D69:T69)</f>
        <v>395</v>
      </c>
      <c r="W69" s="353">
        <v>331</v>
      </c>
    </row>
    <row r="70" spans="1:25" s="4" customFormat="1" ht="14.1" customHeight="1">
      <c r="A70" s="15"/>
      <c r="B70" s="123" t="s">
        <v>202</v>
      </c>
      <c r="C70" s="169"/>
      <c r="D70" s="2">
        <v>179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100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/>
      <c r="V70" s="10">
        <f>SUM(D70:T70)</f>
        <v>279</v>
      </c>
      <c r="W70" s="353" t="s">
        <v>203</v>
      </c>
    </row>
    <row r="71" spans="1:25" s="4" customFormat="1" ht="14.1" customHeight="1">
      <c r="A71" s="15"/>
      <c r="B71" s="123" t="s">
        <v>201</v>
      </c>
      <c r="C71" s="169" t="s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/>
      <c r="V71" s="10">
        <f>SUM(D71:T71)</f>
        <v>0</v>
      </c>
      <c r="W71" s="353" t="s">
        <v>204</v>
      </c>
      <c r="X71" s="5"/>
    </row>
    <row r="72" spans="1:25" s="4" customFormat="1" ht="14.1" customHeight="1">
      <c r="A72" s="15"/>
      <c r="B72" s="123" t="s">
        <v>143</v>
      </c>
      <c r="C72" s="169" t="s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/>
      <c r="V72" s="10">
        <f>SUM(D72:T72)</f>
        <v>0</v>
      </c>
      <c r="W72" s="353">
        <v>331</v>
      </c>
      <c r="X72" s="5"/>
    </row>
    <row r="73" spans="1:25" s="4" customFormat="1" ht="14.1" customHeight="1">
      <c r="A73" s="15"/>
      <c r="B73" s="123" t="s">
        <v>205</v>
      </c>
      <c r="C73" s="169" t="s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/>
      <c r="V73" s="10">
        <f>SUM(D73:T73)</f>
        <v>0</v>
      </c>
      <c r="W73" s="353" t="s">
        <v>206</v>
      </c>
      <c r="X73" s="5"/>
    </row>
    <row r="74" spans="1:25" s="12" customFormat="1" ht="14.1" customHeight="1">
      <c r="A74" s="166" t="s">
        <v>8</v>
      </c>
      <c r="B74" s="78"/>
      <c r="C74" s="79" t="s">
        <v>18</v>
      </c>
      <c r="D74" s="80">
        <f t="shared" ref="D74:I74" si="15">SUM(D69:D73)</f>
        <v>454</v>
      </c>
      <c r="E74" s="81">
        <f t="shared" si="15"/>
        <v>0</v>
      </c>
      <c r="F74" s="81">
        <f t="shared" si="15"/>
        <v>0</v>
      </c>
      <c r="G74" s="81">
        <f t="shared" si="15"/>
        <v>0</v>
      </c>
      <c r="H74" s="81">
        <f t="shared" si="15"/>
        <v>0</v>
      </c>
      <c r="I74" s="80">
        <f t="shared" si="15"/>
        <v>0</v>
      </c>
      <c r="J74" s="80">
        <f t="shared" ref="J74:T74" si="16">SUM(J69:J73)</f>
        <v>0</v>
      </c>
      <c r="K74" s="81">
        <f t="shared" si="16"/>
        <v>0</v>
      </c>
      <c r="L74" s="81">
        <f t="shared" si="16"/>
        <v>220</v>
      </c>
      <c r="M74" s="81">
        <f t="shared" si="16"/>
        <v>0</v>
      </c>
      <c r="N74" s="81">
        <f t="shared" si="16"/>
        <v>0</v>
      </c>
      <c r="O74" s="81">
        <f t="shared" si="16"/>
        <v>0</v>
      </c>
      <c r="P74" s="81">
        <f t="shared" si="16"/>
        <v>0</v>
      </c>
      <c r="Q74" s="81">
        <f t="shared" si="16"/>
        <v>0</v>
      </c>
      <c r="R74" s="81">
        <f t="shared" si="16"/>
        <v>0</v>
      </c>
      <c r="S74" s="81">
        <f t="shared" si="16"/>
        <v>0</v>
      </c>
      <c r="T74" s="80">
        <f t="shared" si="16"/>
        <v>0</v>
      </c>
      <c r="U74"/>
      <c r="V74" s="80">
        <f>SUM(V69:V73)</f>
        <v>674</v>
      </c>
      <c r="W74" s="355"/>
      <c r="X74" s="30"/>
    </row>
    <row r="75" spans="1:25" s="158" customFormat="1" ht="23.25" customHeight="1">
      <c r="A75" s="156" t="str">
        <f>données!$A$1</f>
        <v>PARC D'ACTIVITES ANGERS MARCE</v>
      </c>
      <c r="B75" s="180"/>
      <c r="C75" s="180"/>
      <c r="D75" s="181"/>
      <c r="E75" s="182"/>
      <c r="F75" s="183"/>
      <c r="G75" s="182"/>
      <c r="H75" s="161"/>
      <c r="I75" s="160"/>
      <c r="J75" s="156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/>
      <c r="V75" s="160"/>
      <c r="W75" s="356"/>
      <c r="X75" s="159"/>
      <c r="Y75" s="159"/>
    </row>
    <row r="76" spans="1:25" s="23" customFormat="1" ht="15">
      <c r="A76" s="216" t="s">
        <v>1</v>
      </c>
      <c r="B76" s="217"/>
      <c r="C76" s="218"/>
      <c r="D76" s="219" t="s">
        <v>2</v>
      </c>
      <c r="E76" s="219" t="s">
        <v>2</v>
      </c>
      <c r="F76" s="220"/>
      <c r="G76" s="221" t="s">
        <v>1</v>
      </c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/>
      <c r="V76" s="221"/>
      <c r="W76" s="405" t="s">
        <v>177</v>
      </c>
    </row>
    <row r="77" spans="1:25" s="23" customFormat="1" ht="15">
      <c r="A77" s="234" t="s">
        <v>3</v>
      </c>
      <c r="B77" s="235"/>
      <c r="C77" s="236"/>
      <c r="D77" s="237" t="s">
        <v>4</v>
      </c>
      <c r="E77" s="237" t="s">
        <v>5</v>
      </c>
      <c r="F77" s="238">
        <f>IF(AND(DAY(E78)=31,MONTH(E78)=12),YEAR(E78+365),YEAR(E78))</f>
        <v>2012</v>
      </c>
      <c r="G77" s="238">
        <f t="shared" ref="G77:T77" si="17">F77+1</f>
        <v>2013</v>
      </c>
      <c r="H77" s="238">
        <f t="shared" si="17"/>
        <v>2014</v>
      </c>
      <c r="I77" s="238">
        <f t="shared" si="17"/>
        <v>2015</v>
      </c>
      <c r="J77" s="238">
        <f t="shared" si="17"/>
        <v>2016</v>
      </c>
      <c r="K77" s="238">
        <f t="shared" si="17"/>
        <v>2017</v>
      </c>
      <c r="L77" s="238">
        <f t="shared" si="17"/>
        <v>2018</v>
      </c>
      <c r="M77" s="238">
        <f t="shared" si="17"/>
        <v>2019</v>
      </c>
      <c r="N77" s="238">
        <f t="shared" si="17"/>
        <v>2020</v>
      </c>
      <c r="O77" s="238">
        <f t="shared" si="17"/>
        <v>2021</v>
      </c>
      <c r="P77" s="238">
        <f t="shared" si="17"/>
        <v>2022</v>
      </c>
      <c r="Q77" s="238">
        <f t="shared" si="17"/>
        <v>2023</v>
      </c>
      <c r="R77" s="238">
        <f t="shared" si="17"/>
        <v>2024</v>
      </c>
      <c r="S77" s="238">
        <f t="shared" si="17"/>
        <v>2025</v>
      </c>
      <c r="T77" s="238">
        <f t="shared" si="17"/>
        <v>2026</v>
      </c>
      <c r="U77"/>
      <c r="V77" s="239" t="s">
        <v>6</v>
      </c>
      <c r="W77" s="406"/>
    </row>
    <row r="78" spans="1:25" s="22" customFormat="1" ht="15.75">
      <c r="A78" s="229"/>
      <c r="B78" s="230" t="s">
        <v>23</v>
      </c>
      <c r="C78" s="240" t="str">
        <f>C6</f>
        <v>K€ HT</v>
      </c>
      <c r="D78" s="232">
        <f>D6</f>
        <v>2011</v>
      </c>
      <c r="E78" s="241">
        <f>E6</f>
        <v>39446</v>
      </c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/>
      <c r="V78" s="233"/>
      <c r="W78" s="407"/>
    </row>
    <row r="79" spans="1:25" s="12" customFormat="1" ht="15">
      <c r="A79" s="137" t="s">
        <v>24</v>
      </c>
      <c r="B79" s="30"/>
      <c r="C79" s="169"/>
      <c r="D79" s="10"/>
      <c r="E79" s="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/>
      <c r="V79" s="10"/>
      <c r="W79" s="352"/>
      <c r="X79" s="30"/>
    </row>
    <row r="80" spans="1:25" s="4" customFormat="1" ht="15" customHeight="1">
      <c r="A80" s="29"/>
      <c r="B80" s="123" t="s">
        <v>256</v>
      </c>
      <c r="C80" s="169" t="s">
        <v>0</v>
      </c>
      <c r="D80" s="2">
        <v>453</v>
      </c>
      <c r="E80" s="2">
        <v>0</v>
      </c>
      <c r="F80" s="2">
        <v>43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/>
      <c r="V80" s="10">
        <f>SUM(D80:T80)</f>
        <v>496</v>
      </c>
      <c r="W80" s="353">
        <v>341</v>
      </c>
      <c r="X80" s="5"/>
    </row>
    <row r="81" spans="1:24" s="4" customFormat="1" ht="15">
      <c r="A81" s="29"/>
      <c r="B81" s="123" t="s">
        <v>140</v>
      </c>
      <c r="C81" s="169" t="s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/>
      <c r="V81" s="10">
        <f>SUM(D81:T81)</f>
        <v>0</v>
      </c>
      <c r="W81" s="353">
        <v>341</v>
      </c>
      <c r="X81" s="5"/>
    </row>
    <row r="82" spans="1:24" s="4" customFormat="1" ht="15">
      <c r="A82" s="29"/>
      <c r="B82" s="123" t="s">
        <v>127</v>
      </c>
      <c r="C82" s="169" t="s">
        <v>0</v>
      </c>
      <c r="D82" s="2">
        <v>4</v>
      </c>
      <c r="E82" s="2">
        <v>0</v>
      </c>
      <c r="F82" s="2">
        <v>2</v>
      </c>
      <c r="G82" s="2">
        <v>2</v>
      </c>
      <c r="H82" s="2">
        <v>2</v>
      </c>
      <c r="I82" s="2">
        <v>1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/>
      <c r="V82" s="10">
        <f>SUM(D82:T82)</f>
        <v>11</v>
      </c>
      <c r="W82" s="353">
        <v>341</v>
      </c>
      <c r="X82" s="5"/>
    </row>
    <row r="83" spans="1:24" s="4" customFormat="1" ht="15">
      <c r="A83" s="29"/>
      <c r="B83" s="123" t="s">
        <v>155</v>
      </c>
      <c r="C83" s="169" t="s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/>
      <c r="V83" s="10">
        <f>SUM(D83:T83)</f>
        <v>0</v>
      </c>
      <c r="W83" s="353">
        <v>341</v>
      </c>
      <c r="X83" s="5"/>
    </row>
    <row r="84" spans="1:24" s="4" customFormat="1" ht="15">
      <c r="A84" s="29"/>
      <c r="B84" s="123" t="s">
        <v>127</v>
      </c>
      <c r="C84" s="169" t="s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/>
      <c r="V84" s="10">
        <f>SUM(D84:T84)</f>
        <v>0</v>
      </c>
      <c r="W84" s="353">
        <v>342</v>
      </c>
      <c r="X84" s="5"/>
    </row>
    <row r="85" spans="1:24" s="4" customFormat="1" ht="15" customHeight="1">
      <c r="A85" s="166" t="s">
        <v>8</v>
      </c>
      <c r="B85" s="76"/>
      <c r="C85" s="75" t="s">
        <v>18</v>
      </c>
      <c r="D85" s="73">
        <f t="shared" ref="D85:P85" si="18">SUM(D79:D84)</f>
        <v>457</v>
      </c>
      <c r="E85" s="73">
        <f t="shared" si="18"/>
        <v>0</v>
      </c>
      <c r="F85" s="73">
        <f t="shared" si="18"/>
        <v>45</v>
      </c>
      <c r="G85" s="73">
        <f t="shared" si="18"/>
        <v>2</v>
      </c>
      <c r="H85" s="73">
        <f t="shared" si="18"/>
        <v>2</v>
      </c>
      <c r="I85" s="73">
        <f t="shared" si="18"/>
        <v>1</v>
      </c>
      <c r="J85" s="73">
        <f t="shared" si="18"/>
        <v>0</v>
      </c>
      <c r="K85" s="73">
        <f t="shared" si="18"/>
        <v>0</v>
      </c>
      <c r="L85" s="73">
        <f t="shared" si="18"/>
        <v>0</v>
      </c>
      <c r="M85" s="73">
        <f t="shared" si="18"/>
        <v>0</v>
      </c>
      <c r="N85" s="73">
        <f t="shared" si="18"/>
        <v>0</v>
      </c>
      <c r="O85" s="73">
        <f t="shared" si="18"/>
        <v>0</v>
      </c>
      <c r="P85" s="73">
        <f t="shared" si="18"/>
        <v>0</v>
      </c>
      <c r="Q85" s="73">
        <f>SUM(Q79:Q84)</f>
        <v>0</v>
      </c>
      <c r="R85" s="73">
        <f>SUM(R79:R84)</f>
        <v>0</v>
      </c>
      <c r="S85" s="73">
        <f>SUM(S79:S84)</f>
        <v>0</v>
      </c>
      <c r="T85" s="73">
        <f>SUM(T79:T84)</f>
        <v>0</v>
      </c>
      <c r="U85"/>
      <c r="V85" s="73">
        <f>SUM(V79:V84)</f>
        <v>507</v>
      </c>
      <c r="W85" s="354"/>
      <c r="X85" s="5"/>
    </row>
    <row r="86" spans="1:24" s="4" customFormat="1" ht="15">
      <c r="A86" s="137" t="s">
        <v>126</v>
      </c>
      <c r="B86" s="30"/>
      <c r="C86" s="169"/>
      <c r="D86" s="10"/>
      <c r="E86" s="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/>
      <c r="V86" s="10"/>
      <c r="W86" s="353"/>
      <c r="X86" s="5"/>
    </row>
    <row r="87" spans="1:24" s="4" customFormat="1" ht="15" customHeight="1">
      <c r="A87" s="29"/>
      <c r="B87" s="123" t="s">
        <v>253</v>
      </c>
      <c r="C87" s="169" t="s">
        <v>0</v>
      </c>
      <c r="D87" s="2">
        <v>9</v>
      </c>
      <c r="E87" s="2">
        <v>0</v>
      </c>
      <c r="F87" s="2">
        <v>10</v>
      </c>
      <c r="G87" s="2">
        <v>0</v>
      </c>
      <c r="H87" s="2">
        <v>0</v>
      </c>
      <c r="I87" s="2">
        <v>62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/>
      <c r="V87" s="10">
        <f>SUM(D87:T87)</f>
        <v>81</v>
      </c>
      <c r="W87" s="353">
        <v>401</v>
      </c>
      <c r="X87" s="5"/>
    </row>
    <row r="88" spans="1:24" s="4" customFormat="1" ht="15" customHeight="1">
      <c r="A88" s="29"/>
      <c r="B88" s="123" t="s">
        <v>254</v>
      </c>
      <c r="C88" s="169" t="s">
        <v>0</v>
      </c>
      <c r="D88" s="2">
        <v>150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/>
      <c r="V88" s="10">
        <f>SUM(D88:T88)</f>
        <v>150</v>
      </c>
      <c r="W88" s="353">
        <v>401</v>
      </c>
      <c r="X88" s="5"/>
    </row>
    <row r="89" spans="1:24" s="4" customFormat="1" ht="15" customHeight="1">
      <c r="A89" s="29"/>
      <c r="B89" s="123" t="s">
        <v>25</v>
      </c>
      <c r="C89" s="169" t="s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/>
      <c r="V89" s="10">
        <f>SUM(D89:T89)</f>
        <v>0</v>
      </c>
      <c r="W89" s="353">
        <v>401</v>
      </c>
      <c r="X89" s="5"/>
    </row>
    <row r="90" spans="1:24" s="4" customFormat="1" ht="15" customHeight="1">
      <c r="A90" s="29"/>
      <c r="B90" s="123" t="s">
        <v>207</v>
      </c>
      <c r="C90" s="169" t="s">
        <v>0</v>
      </c>
      <c r="D90" s="2">
        <v>2</v>
      </c>
      <c r="E90" s="2">
        <v>0</v>
      </c>
      <c r="F90" s="2">
        <v>1</v>
      </c>
      <c r="G90" s="2">
        <v>0</v>
      </c>
      <c r="H90" s="2">
        <v>0</v>
      </c>
      <c r="I90" s="2">
        <v>1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/>
      <c r="V90" s="10">
        <f>SUM(D90:T90)</f>
        <v>4</v>
      </c>
      <c r="W90" s="353">
        <v>402</v>
      </c>
      <c r="X90" s="5"/>
    </row>
    <row r="91" spans="1:24" s="4" customFormat="1" ht="15">
      <c r="A91" s="17"/>
      <c r="B91" s="123" t="s">
        <v>208</v>
      </c>
      <c r="C91" s="169" t="s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/>
      <c r="V91" s="10">
        <f>SUM(D91:T91)</f>
        <v>0</v>
      </c>
      <c r="W91" s="353" t="s">
        <v>209</v>
      </c>
      <c r="X91" s="5"/>
    </row>
    <row r="92" spans="1:24" s="4" customFormat="1" ht="15" customHeight="1">
      <c r="A92" s="166" t="s">
        <v>8</v>
      </c>
      <c r="B92" s="76"/>
      <c r="C92" s="75" t="s">
        <v>18</v>
      </c>
      <c r="D92" s="73">
        <f t="shared" ref="D92:P92" si="19">SUM(D86:D91)</f>
        <v>161</v>
      </c>
      <c r="E92" s="73">
        <f t="shared" si="19"/>
        <v>0</v>
      </c>
      <c r="F92" s="73">
        <f t="shared" si="19"/>
        <v>11</v>
      </c>
      <c r="G92" s="73">
        <f t="shared" si="19"/>
        <v>0</v>
      </c>
      <c r="H92" s="73">
        <f t="shared" si="19"/>
        <v>0</v>
      </c>
      <c r="I92" s="73">
        <f t="shared" si="19"/>
        <v>63</v>
      </c>
      <c r="J92" s="73">
        <f t="shared" si="19"/>
        <v>0</v>
      </c>
      <c r="K92" s="73">
        <f t="shared" si="19"/>
        <v>0</v>
      </c>
      <c r="L92" s="73">
        <f t="shared" si="19"/>
        <v>0</v>
      </c>
      <c r="M92" s="73">
        <f t="shared" si="19"/>
        <v>0</v>
      </c>
      <c r="N92" s="73">
        <f t="shared" si="19"/>
        <v>0</v>
      </c>
      <c r="O92" s="73">
        <f t="shared" si="19"/>
        <v>0</v>
      </c>
      <c r="P92" s="73">
        <f t="shared" si="19"/>
        <v>0</v>
      </c>
      <c r="Q92" s="73">
        <f>SUM(Q86:Q91)</f>
        <v>0</v>
      </c>
      <c r="R92" s="73">
        <f>SUM(R86:R91)</f>
        <v>0</v>
      </c>
      <c r="S92" s="73">
        <f>SUM(S86:S91)</f>
        <v>0</v>
      </c>
      <c r="T92" s="73">
        <f>SUM(T86:T91)</f>
        <v>0</v>
      </c>
      <c r="U92"/>
      <c r="V92" s="73">
        <f>SUM(V86:V91)</f>
        <v>235</v>
      </c>
      <c r="W92" s="354"/>
      <c r="X92" s="5"/>
    </row>
    <row r="93" spans="1:24" s="4" customFormat="1" ht="15">
      <c r="A93" s="137" t="s">
        <v>26</v>
      </c>
      <c r="B93" s="30"/>
      <c r="C93" s="169"/>
      <c r="D93" s="10"/>
      <c r="E93" s="1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/>
      <c r="V93" s="10"/>
      <c r="W93" s="353"/>
      <c r="X93" s="5"/>
    </row>
    <row r="94" spans="1:24" s="4" customFormat="1" ht="15" customHeight="1">
      <c r="A94" s="29"/>
      <c r="B94" s="123" t="s">
        <v>255</v>
      </c>
      <c r="C94" s="169" t="s">
        <v>0</v>
      </c>
      <c r="D94" s="2">
        <v>0</v>
      </c>
      <c r="E94" s="2">
        <v>0</v>
      </c>
      <c r="F94" s="2">
        <v>100</v>
      </c>
      <c r="G94" s="2"/>
      <c r="H94" s="2"/>
      <c r="I94" s="2"/>
      <c r="J94" s="2"/>
      <c r="K94" s="2"/>
      <c r="L94" s="2"/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/>
      <c r="V94" s="10">
        <f>SUM(D94:T94)</f>
        <v>100</v>
      </c>
      <c r="W94" s="353">
        <v>361</v>
      </c>
      <c r="X94" s="5"/>
    </row>
    <row r="95" spans="1:24" s="4" customFormat="1" ht="15" customHeight="1">
      <c r="A95" s="29"/>
      <c r="B95" s="123" t="s">
        <v>210</v>
      </c>
      <c r="C95" s="169" t="s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104</v>
      </c>
      <c r="J95" s="2">
        <v>0</v>
      </c>
      <c r="K95" s="2">
        <v>0</v>
      </c>
      <c r="L95" s="2">
        <v>166</v>
      </c>
      <c r="M95" s="2">
        <v>0</v>
      </c>
      <c r="N95" s="2">
        <v>1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/>
      <c r="V95" s="10">
        <f>SUM(D95:T95)</f>
        <v>271</v>
      </c>
      <c r="W95" s="353">
        <v>361</v>
      </c>
      <c r="X95" s="5"/>
    </row>
    <row r="96" spans="1:24" s="4" customFormat="1" ht="15" customHeight="1">
      <c r="A96" s="29"/>
      <c r="B96" s="123" t="s">
        <v>178</v>
      </c>
      <c r="C96" s="169" t="s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/>
      <c r="V96" s="10">
        <f>SUM(D96:T96)</f>
        <v>0</v>
      </c>
      <c r="W96" s="353" t="s">
        <v>211</v>
      </c>
      <c r="X96" s="5"/>
    </row>
    <row r="97" spans="1:24" s="4" customFormat="1" ht="15" customHeight="1">
      <c r="A97" s="29"/>
      <c r="B97" s="123" t="s">
        <v>178</v>
      </c>
      <c r="C97" s="169" t="s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/>
      <c r="V97" s="10">
        <f>SUM(D97:T97)</f>
        <v>0</v>
      </c>
      <c r="W97" s="353" t="s">
        <v>211</v>
      </c>
      <c r="X97" s="5"/>
    </row>
    <row r="98" spans="1:24" s="4" customFormat="1" ht="15">
      <c r="A98" s="17"/>
      <c r="B98" s="123" t="s">
        <v>178</v>
      </c>
      <c r="C98" s="169" t="s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/>
      <c r="V98" s="10">
        <f>SUM(D98:T98)</f>
        <v>0</v>
      </c>
      <c r="W98" s="353" t="s">
        <v>211</v>
      </c>
      <c r="X98" s="5"/>
    </row>
    <row r="99" spans="1:24" s="4" customFormat="1" ht="15" customHeight="1">
      <c r="A99" s="166" t="s">
        <v>8</v>
      </c>
      <c r="B99" s="76"/>
      <c r="C99" s="75" t="s">
        <v>18</v>
      </c>
      <c r="D99" s="73">
        <f t="shared" ref="D99:P99" si="20">SUM(D93:D98)</f>
        <v>0</v>
      </c>
      <c r="E99" s="73">
        <f t="shared" si="20"/>
        <v>0</v>
      </c>
      <c r="F99" s="73">
        <f t="shared" si="20"/>
        <v>100</v>
      </c>
      <c r="G99" s="73">
        <f t="shared" si="20"/>
        <v>0</v>
      </c>
      <c r="H99" s="73">
        <f t="shared" si="20"/>
        <v>0</v>
      </c>
      <c r="I99" s="73">
        <f t="shared" si="20"/>
        <v>104</v>
      </c>
      <c r="J99" s="73">
        <f t="shared" si="20"/>
        <v>0</v>
      </c>
      <c r="K99" s="73">
        <f t="shared" si="20"/>
        <v>0</v>
      </c>
      <c r="L99" s="73">
        <f t="shared" si="20"/>
        <v>166</v>
      </c>
      <c r="M99" s="73">
        <f t="shared" si="20"/>
        <v>0</v>
      </c>
      <c r="N99" s="73">
        <f t="shared" si="20"/>
        <v>1</v>
      </c>
      <c r="O99" s="73">
        <f t="shared" si="20"/>
        <v>0</v>
      </c>
      <c r="P99" s="73">
        <f t="shared" si="20"/>
        <v>0</v>
      </c>
      <c r="Q99" s="73">
        <f>SUM(Q93:Q98)</f>
        <v>0</v>
      </c>
      <c r="R99" s="73">
        <f>SUM(R93:R98)</f>
        <v>0</v>
      </c>
      <c r="S99" s="73">
        <f>SUM(S93:S98)</f>
        <v>0</v>
      </c>
      <c r="T99" s="73">
        <f>SUM(T93:T98)</f>
        <v>0</v>
      </c>
      <c r="U99"/>
      <c r="V99" s="73">
        <f>SUM(V93:V98)</f>
        <v>371</v>
      </c>
      <c r="W99" s="354"/>
      <c r="X99" s="5"/>
    </row>
    <row r="100" spans="1:24" s="4" customFormat="1" ht="15" customHeight="1">
      <c r="A100" s="165"/>
      <c r="B100" s="35"/>
      <c r="C100" s="36" t="s">
        <v>27</v>
      </c>
      <c r="D100" s="14">
        <f>SUM(D46,D53,D60,D67,D74,D85,D92,D99)</f>
        <v>2753</v>
      </c>
      <c r="E100" s="14">
        <f t="shared" ref="E100:T100" si="21">SUM(E46,E53,E60,E67,E74,E85,E92,E99)</f>
        <v>0</v>
      </c>
      <c r="F100" s="14">
        <f t="shared" si="21"/>
        <v>156</v>
      </c>
      <c r="G100" s="14">
        <f t="shared" si="21"/>
        <v>2</v>
      </c>
      <c r="H100" s="14">
        <f t="shared" si="21"/>
        <v>2</v>
      </c>
      <c r="I100" s="14">
        <f t="shared" si="21"/>
        <v>168</v>
      </c>
      <c r="J100" s="14">
        <f t="shared" si="21"/>
        <v>0</v>
      </c>
      <c r="K100" s="14">
        <f t="shared" si="21"/>
        <v>0</v>
      </c>
      <c r="L100" s="14">
        <f t="shared" si="21"/>
        <v>1586</v>
      </c>
      <c r="M100" s="14">
        <f t="shared" si="21"/>
        <v>0</v>
      </c>
      <c r="N100" s="14">
        <f t="shared" si="21"/>
        <v>1</v>
      </c>
      <c r="O100" s="14">
        <f t="shared" si="21"/>
        <v>0</v>
      </c>
      <c r="P100" s="14">
        <f t="shared" si="21"/>
        <v>0</v>
      </c>
      <c r="Q100" s="14">
        <f t="shared" si="21"/>
        <v>0</v>
      </c>
      <c r="R100" s="14">
        <f t="shared" si="21"/>
        <v>0</v>
      </c>
      <c r="S100" s="14">
        <f t="shared" si="21"/>
        <v>0</v>
      </c>
      <c r="T100" s="14">
        <f t="shared" si="21"/>
        <v>0</v>
      </c>
      <c r="U100"/>
      <c r="V100" s="14">
        <f>SUM(V46,V53,V60,V67,V74,V85,V92,V99)</f>
        <v>4668</v>
      </c>
      <c r="W100" s="353"/>
      <c r="X100" s="5"/>
    </row>
    <row r="101" spans="1:24" s="4" customFormat="1" ht="15">
      <c r="A101" s="38" t="s">
        <v>28</v>
      </c>
      <c r="B101" s="39"/>
      <c r="C101" s="40"/>
      <c r="D101" s="20"/>
      <c r="E101" s="20"/>
      <c r="F101" s="20"/>
      <c r="G101" s="2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/>
      <c r="V101" s="10"/>
      <c r="W101" s="353"/>
    </row>
    <row r="102" spans="1:24" s="4" customFormat="1" ht="15">
      <c r="A102" s="29" t="s">
        <v>29</v>
      </c>
      <c r="B102" s="30"/>
      <c r="C102" s="193" t="s">
        <v>30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/>
      <c r="V102" s="10">
        <f t="shared" ref="V102:V108" si="22">SUM(D102:T102)</f>
        <v>0</v>
      </c>
      <c r="W102" s="353">
        <v>502</v>
      </c>
    </row>
    <row r="103" spans="1:24" s="4" customFormat="1" ht="15" customHeight="1">
      <c r="A103" s="17"/>
      <c r="B103" s="12" t="str">
        <f>données!$B$10</f>
        <v>emprunt 1</v>
      </c>
      <c r="C103" s="124">
        <v>0</v>
      </c>
      <c r="D103" s="2">
        <v>0</v>
      </c>
      <c r="E103" s="2">
        <v>0</v>
      </c>
      <c r="F103" s="10">
        <f>(SUM($D277:E277)-SUM($D253:E253))*taux_révisé1-E103+C103</f>
        <v>0</v>
      </c>
      <c r="G103" s="10">
        <f>(SUM($D277:F277)-SUM($D253:F253))*taux_révisé1</f>
        <v>0</v>
      </c>
      <c r="H103" s="10">
        <f>(SUM($D277:G277)-SUM($D253:G253))*taux_révisé1</f>
        <v>0</v>
      </c>
      <c r="I103" s="10">
        <f>(SUM($D277:H277)-SUM($D253:H253))*taux_révisé1</f>
        <v>0</v>
      </c>
      <c r="J103" s="10">
        <f>(SUM($D277:I277)-SUM($D253:I253))*taux_révisé1</f>
        <v>0</v>
      </c>
      <c r="K103" s="10">
        <f>(SUM($D277:J277)-SUM($D253:J253))*taux_révisé1</f>
        <v>0</v>
      </c>
      <c r="L103" s="10">
        <f>(SUM($D277:K277)-SUM($D253:K253))*taux_révisé1</f>
        <v>0</v>
      </c>
      <c r="M103" s="10">
        <f>(SUM($D277:L277)-SUM($D253:L253))*taux_révisé1</f>
        <v>0</v>
      </c>
      <c r="N103" s="10">
        <f>(SUM($D277:M277)-SUM($D253:M253))*taux_révisé1</f>
        <v>0</v>
      </c>
      <c r="O103" s="10">
        <f>(SUM($D277:N277)-SUM($D253:N253))*taux_révisé1</f>
        <v>0</v>
      </c>
      <c r="P103" s="10">
        <f>(SUM($D277:O277)-SUM($D253:O253))*taux_révisé1</f>
        <v>0</v>
      </c>
      <c r="Q103" s="10">
        <f>(SUM($D277:P277)-SUM($D253:P253))*taux_révisé1</f>
        <v>0</v>
      </c>
      <c r="R103" s="10">
        <f>(SUM($D277:Q277)-SUM($D253:Q253))*taux_révisé1</f>
        <v>0</v>
      </c>
      <c r="S103" s="10">
        <f>(SUM($D277:R277)-SUM($D253:R253))*taux_révisé1</f>
        <v>0</v>
      </c>
      <c r="T103" s="10">
        <f>(SUM($D277:S277)-SUM($D253:S253))*taux_révisé1</f>
        <v>0</v>
      </c>
      <c r="U103"/>
      <c r="V103" s="10">
        <f t="shared" si="22"/>
        <v>0</v>
      </c>
      <c r="W103" s="353">
        <v>502</v>
      </c>
    </row>
    <row r="104" spans="1:24" s="4" customFormat="1" ht="15">
      <c r="A104" s="17"/>
      <c r="B104" s="12" t="str">
        <f>données!$B$11</f>
        <v>emprunt 2</v>
      </c>
      <c r="C104" s="124">
        <v>0</v>
      </c>
      <c r="D104" s="2">
        <v>0</v>
      </c>
      <c r="E104" s="2">
        <v>0</v>
      </c>
      <c r="F104" s="10">
        <f>(SUM($D278:E278)-SUM($D254:E254))*taux_révisé2-E104+C104</f>
        <v>0</v>
      </c>
      <c r="G104" s="10">
        <f>(SUM($D278:F278)-SUM($D254:F254))*taux_révisé2</f>
        <v>0</v>
      </c>
      <c r="H104" s="10">
        <f>(SUM($D278:G278)-SUM($D254:G254))*taux_révisé2</f>
        <v>0</v>
      </c>
      <c r="I104" s="10">
        <f>(SUM($D278:H278)-SUM($D254:H254))*taux_révisé2</f>
        <v>0</v>
      </c>
      <c r="J104" s="10">
        <f>(SUM($D278:I278)-SUM($D254:I254))*taux_révisé2</f>
        <v>0</v>
      </c>
      <c r="K104" s="10">
        <f>(SUM($D278:J278)-SUM($D254:J254))*taux_révisé2</f>
        <v>0</v>
      </c>
      <c r="L104" s="10">
        <f>(SUM($D278:K278)-SUM($D254:K254))*taux_révisé2</f>
        <v>0</v>
      </c>
      <c r="M104" s="10">
        <f>(SUM($D278:L278)-SUM($D254:L254))*taux_révisé2</f>
        <v>0</v>
      </c>
      <c r="N104" s="10">
        <f>(SUM($D278:M278)-SUM($D254:M254))*taux_révisé2</f>
        <v>0</v>
      </c>
      <c r="O104" s="10">
        <f>(SUM($D278:N278)-SUM($D254:N254))*taux_révisé2</f>
        <v>0</v>
      </c>
      <c r="P104" s="10">
        <f>(SUM($D278:O278)-SUM($D254:O254))*taux_révisé2</f>
        <v>0</v>
      </c>
      <c r="Q104" s="10">
        <f>(SUM($D278:P278)-SUM($D254:P254))*taux_révisé2</f>
        <v>0</v>
      </c>
      <c r="R104" s="10">
        <f>(SUM($D278:Q278)-SUM($D254:Q254))*taux_révisé2</f>
        <v>0</v>
      </c>
      <c r="S104" s="10">
        <f>(SUM($D278:R278)-SUM($D254:R254))*taux_révisé2</f>
        <v>0</v>
      </c>
      <c r="T104" s="10">
        <f>(SUM($D278:S278)-SUM($D254:S254))*taux_révisé2</f>
        <v>0</v>
      </c>
      <c r="U104"/>
      <c r="V104" s="10">
        <f t="shared" si="22"/>
        <v>0</v>
      </c>
      <c r="W104" s="353">
        <v>502</v>
      </c>
    </row>
    <row r="105" spans="1:24" s="4" customFormat="1" ht="15">
      <c r="A105" s="17"/>
      <c r="B105" s="12" t="str">
        <f>données!$B$12</f>
        <v>emprunt 3</v>
      </c>
      <c r="C105" s="124">
        <v>0</v>
      </c>
      <c r="D105" s="2">
        <v>0</v>
      </c>
      <c r="E105" s="2">
        <v>0</v>
      </c>
      <c r="F105" s="10">
        <f>(SUM($D279:E279)-SUM($D255:E255))*taux_révisé3-E105+C105</f>
        <v>0</v>
      </c>
      <c r="G105" s="10">
        <f>(SUM($D279:F279)-SUM($D255:F255))*taux_révisé3</f>
        <v>0</v>
      </c>
      <c r="H105" s="10">
        <f>(SUM($D279:G279)-SUM($D255:G255))*taux_révisé3</f>
        <v>0</v>
      </c>
      <c r="I105" s="10">
        <f>(SUM($D279:H279)-SUM($D255:H255))*taux_révisé3</f>
        <v>0</v>
      </c>
      <c r="J105" s="10">
        <f>(SUM($D279:I279)-SUM($D255:I255))*taux_révisé3</f>
        <v>0</v>
      </c>
      <c r="K105" s="10">
        <f>(SUM($D279:J279)-SUM($D255:J255))*taux_révisé3</f>
        <v>0</v>
      </c>
      <c r="L105" s="10">
        <f>(SUM($D279:K279)-SUM($D255:K255))*taux_révisé3</f>
        <v>0</v>
      </c>
      <c r="M105" s="10">
        <f>(SUM($D279:L279)-SUM($D255:L255))*taux_révisé3</f>
        <v>0</v>
      </c>
      <c r="N105" s="10">
        <f>(SUM($D279:M279)-SUM($D255:M255))*taux_révisé3</f>
        <v>0</v>
      </c>
      <c r="O105" s="10">
        <f>(SUM($D279:N279)-SUM($D255:N255))*taux_révisé3</f>
        <v>0</v>
      </c>
      <c r="P105" s="10">
        <f>(SUM($D279:O279)-SUM($D255:O255))*taux_révisé3</f>
        <v>0</v>
      </c>
      <c r="Q105" s="10">
        <f>(SUM($D279:P279)-SUM($D255:P255))*taux_révisé3</f>
        <v>0</v>
      </c>
      <c r="R105" s="10">
        <f>(SUM($D279:Q279)-SUM($D255:Q255))*taux_révisé3</f>
        <v>0</v>
      </c>
      <c r="S105" s="10">
        <f>(SUM($D279:R279)-SUM($D255:R255))*taux_révisé3</f>
        <v>0</v>
      </c>
      <c r="T105" s="10">
        <f>(SUM($D279:S279)-SUM($D255:S255))*taux_révisé3</f>
        <v>0</v>
      </c>
      <c r="U105"/>
      <c r="V105" s="10">
        <f t="shared" si="22"/>
        <v>0</v>
      </c>
      <c r="W105" s="353">
        <v>502</v>
      </c>
    </row>
    <row r="106" spans="1:24" s="4" customFormat="1" ht="15">
      <c r="A106" s="17"/>
      <c r="B106" s="12" t="str">
        <f>données!$B13</f>
        <v>emprunt 4</v>
      </c>
      <c r="C106" s="124">
        <v>0</v>
      </c>
      <c r="D106" s="2">
        <v>0</v>
      </c>
      <c r="E106" s="2">
        <v>0</v>
      </c>
      <c r="F106" s="10">
        <f>(SUM($D280:E280)-SUM($D256:E256))*taux_révisé4-E106+C106</f>
        <v>0</v>
      </c>
      <c r="G106" s="10">
        <f>(SUM($D280:F280)-SUM($D256:F256))*taux_révisé4</f>
        <v>0</v>
      </c>
      <c r="H106" s="10">
        <f>(SUM($D280:G280)-SUM($D256:G256))*taux_révisé4</f>
        <v>0</v>
      </c>
      <c r="I106" s="10">
        <f>(SUM($D280:H280)-SUM($D256:H256))*taux_révisé4</f>
        <v>0</v>
      </c>
      <c r="J106" s="10">
        <f>(SUM($D280:I280)-SUM($D256:I256))*taux_révisé4</f>
        <v>0</v>
      </c>
      <c r="K106" s="10">
        <f>(SUM($D280:J280)-SUM($D256:J256))*taux_révisé4</f>
        <v>0</v>
      </c>
      <c r="L106" s="10">
        <f>(SUM($D280:K280)-SUM($D256:K256))*taux_révisé4</f>
        <v>0</v>
      </c>
      <c r="M106" s="10">
        <f>(SUM($D280:L280)-SUM($D256:L256))*taux_révisé4</f>
        <v>0</v>
      </c>
      <c r="N106" s="10">
        <f>(SUM($D280:M280)-SUM($D256:M256))*taux_révisé4</f>
        <v>0</v>
      </c>
      <c r="O106" s="10">
        <f>(SUM($D280:N280)-SUM($D256:N256))*taux_révisé4</f>
        <v>0</v>
      </c>
      <c r="P106" s="10">
        <f>(SUM($D280:O280)-SUM($D256:O256))*taux_révisé4</f>
        <v>0</v>
      </c>
      <c r="Q106" s="10">
        <f>(SUM($D280:P280)-SUM($D256:P256))*taux_révisé4</f>
        <v>0</v>
      </c>
      <c r="R106" s="10">
        <f>(SUM($D280:Q280)-SUM($D256:Q256))*taux_révisé4</f>
        <v>0</v>
      </c>
      <c r="S106" s="10">
        <f>(SUM($D280:R280)-SUM($D256:R256))*taux_révisé4</f>
        <v>0</v>
      </c>
      <c r="T106" s="10">
        <f>(SUM($D280:S280)-SUM($D256:S256))*taux_révisé4</f>
        <v>0</v>
      </c>
      <c r="U106"/>
      <c r="V106" s="10">
        <f t="shared" si="22"/>
        <v>0</v>
      </c>
      <c r="W106" s="353">
        <v>502</v>
      </c>
    </row>
    <row r="107" spans="1:24" s="4" customFormat="1" ht="15">
      <c r="A107" s="17"/>
      <c r="B107" s="12" t="str">
        <f>données!$B14</f>
        <v>emprunt 5</v>
      </c>
      <c r="C107" s="124">
        <v>0</v>
      </c>
      <c r="D107" s="2">
        <v>0</v>
      </c>
      <c r="E107" s="2">
        <v>0</v>
      </c>
      <c r="F107" s="10">
        <f>(SUM($D281:E281)-SUM($D257:E257))*taux_révisé5-E107+C107</f>
        <v>0</v>
      </c>
      <c r="G107" s="10">
        <f>(SUM($D281:F281)-SUM($D257:F257))*taux_révisé5</f>
        <v>0</v>
      </c>
      <c r="H107" s="10">
        <f>(SUM($D281:G281)-SUM($D257:G257))*taux_révisé5</f>
        <v>0</v>
      </c>
      <c r="I107" s="10">
        <f>(SUM($D281:H281)-SUM($D257:H257))*taux_révisé5</f>
        <v>0</v>
      </c>
      <c r="J107" s="10">
        <f>(SUM($D281:I281)-SUM($D257:I257))*taux_révisé5</f>
        <v>0</v>
      </c>
      <c r="K107" s="10">
        <f>(SUM($D281:J281)-SUM($D257:J257))*taux_révisé5</f>
        <v>0</v>
      </c>
      <c r="L107" s="10">
        <f>(SUM($D281:K281)-SUM($D257:K257))*taux_révisé5</f>
        <v>0</v>
      </c>
      <c r="M107" s="10">
        <f>(SUM($D281:L281)-SUM($D257:L257))*taux_révisé5</f>
        <v>0</v>
      </c>
      <c r="N107" s="10">
        <f>(SUM($D281:M281)-SUM($D257:M257))*taux_révisé5</f>
        <v>0</v>
      </c>
      <c r="O107" s="10">
        <f>(SUM($D281:N281)-SUM($D257:N257))*taux_révisé5</f>
        <v>0</v>
      </c>
      <c r="P107" s="10">
        <f>(SUM($D281:O281)-SUM($D257:O257))*taux_révisé5</f>
        <v>0</v>
      </c>
      <c r="Q107" s="10">
        <f>(SUM($D281:P281)-SUM($D257:P257))*taux_révisé5</f>
        <v>0</v>
      </c>
      <c r="R107" s="10">
        <f>(SUM($D281:Q281)-SUM($D257:Q257))*taux_révisé5</f>
        <v>0</v>
      </c>
      <c r="S107" s="10">
        <f>(SUM($D281:R281)-SUM($D257:R257))*taux_révisé5</f>
        <v>0</v>
      </c>
      <c r="T107" s="10">
        <f>(SUM($D281:S281)-SUM($D257:S257))*taux_révisé5</f>
        <v>0</v>
      </c>
      <c r="U107"/>
      <c r="V107" s="10">
        <f t="shared" si="22"/>
        <v>0</v>
      </c>
      <c r="W107" s="353">
        <v>502</v>
      </c>
    </row>
    <row r="108" spans="1:24" s="4" customFormat="1" ht="15">
      <c r="A108" s="17"/>
      <c r="B108" s="12" t="str">
        <f>données!$B15</f>
        <v>emprunt 6</v>
      </c>
      <c r="C108" s="124">
        <v>0</v>
      </c>
      <c r="D108" s="2">
        <v>0</v>
      </c>
      <c r="E108" s="2">
        <v>0</v>
      </c>
      <c r="F108" s="10">
        <f>(SUM($D282:E282)-SUM($D258:E258))*taux_révisé6-E108+C108</f>
        <v>0</v>
      </c>
      <c r="G108" s="10">
        <f>(SUM($D282:F282)-SUM($D258:F258))*taux_révisé6</f>
        <v>0</v>
      </c>
      <c r="H108" s="10">
        <f>(SUM($D282:G282)-SUM($D258:G258))*taux_révisé6</f>
        <v>0</v>
      </c>
      <c r="I108" s="10">
        <f>(SUM($D282:H282)-SUM($D258:H258))*taux_révisé6</f>
        <v>0</v>
      </c>
      <c r="J108" s="10">
        <f>(SUM($D282:I282)-SUM($D258:I258))*taux_révisé6</f>
        <v>0</v>
      </c>
      <c r="K108" s="10">
        <f>(SUM($D282:J282)-SUM($D258:J258))*taux_révisé6</f>
        <v>0</v>
      </c>
      <c r="L108" s="10">
        <f>(SUM($D282:K282)-SUM($D258:K258))*taux_révisé6</f>
        <v>0</v>
      </c>
      <c r="M108" s="10">
        <f>(SUM($D282:L282)-SUM($D258:L258))*taux_révisé6</f>
        <v>0</v>
      </c>
      <c r="N108" s="10">
        <f>(SUM($D282:M282)-SUM($D258:M258))*taux_révisé6</f>
        <v>0</v>
      </c>
      <c r="O108" s="10">
        <f>(SUM($D282:N282)-SUM($D258:N258))*taux_révisé6</f>
        <v>0</v>
      </c>
      <c r="P108" s="10">
        <f>(SUM($D282:O282)-SUM($D258:O258))*taux_révisé6</f>
        <v>0</v>
      </c>
      <c r="Q108" s="10">
        <f>(SUM($D282:P282)-SUM($D258:P258))*taux_révisé6</f>
        <v>0</v>
      </c>
      <c r="R108" s="10">
        <f>(SUM($D282:Q282)-SUM($D258:Q258))*taux_révisé6</f>
        <v>0</v>
      </c>
      <c r="S108" s="10">
        <f>(SUM($D282:R282)-SUM($D258:R258))*taux_révisé6</f>
        <v>0</v>
      </c>
      <c r="T108" s="10">
        <f>(SUM($D282:S282)-SUM($D258:S258))*taux_révisé6</f>
        <v>0</v>
      </c>
      <c r="U108"/>
      <c r="V108" s="10">
        <f t="shared" si="22"/>
        <v>0</v>
      </c>
      <c r="W108" s="353">
        <v>502</v>
      </c>
    </row>
    <row r="109" spans="1:24" s="4" customFormat="1" ht="15">
      <c r="A109" s="17"/>
      <c r="B109" s="12" t="str">
        <f>données!$B16</f>
        <v>emprunt 7</v>
      </c>
      <c r="C109" s="124">
        <v>0</v>
      </c>
      <c r="D109" s="2">
        <v>0</v>
      </c>
      <c r="E109" s="2">
        <v>0</v>
      </c>
      <c r="F109" s="10">
        <f>(SUM($D283:E283)-SUM($D259:E259))*taux_révisé7-E109+C109</f>
        <v>0</v>
      </c>
      <c r="G109" s="10">
        <f>(SUM($D283:F283)-SUM($D259:F259))*taux_révisé7</f>
        <v>0</v>
      </c>
      <c r="H109" s="10">
        <f>(SUM($D283:G283)-SUM($D259:G259))*taux_révisé7</f>
        <v>0</v>
      </c>
      <c r="I109" s="10">
        <f>(SUM($D283:H283)-SUM($D259:H259))*taux_révisé7</f>
        <v>0</v>
      </c>
      <c r="J109" s="10">
        <f>(SUM($D283:I283)-SUM($D259:I259))*taux_révisé7</f>
        <v>0</v>
      </c>
      <c r="K109" s="10">
        <f>(SUM($D283:J283)-SUM($D259:J259))*taux_révisé7</f>
        <v>0</v>
      </c>
      <c r="L109" s="10">
        <f>(SUM($D283:K283)-SUM($D259:K259))*taux_révisé7</f>
        <v>0</v>
      </c>
      <c r="M109" s="10">
        <f>(SUM($D283:L283)-SUM($D259:L259))*taux_révisé7</f>
        <v>0</v>
      </c>
      <c r="N109" s="10">
        <f>(SUM($D283:M283)-SUM($D259:M259))*taux_révisé7</f>
        <v>0</v>
      </c>
      <c r="O109" s="10">
        <f>(SUM($D283:N283)-SUM($D259:N259))*taux_révisé7</f>
        <v>0</v>
      </c>
      <c r="P109" s="10">
        <f>(SUM($D283:O283)-SUM($D259:O259))*taux_révisé7</f>
        <v>0</v>
      </c>
      <c r="Q109" s="10">
        <f>(SUM($D283:P283)-SUM($D259:P259))*taux_révisé7</f>
        <v>0</v>
      </c>
      <c r="R109" s="10">
        <f>(SUM($D283:Q283)-SUM($D259:Q259))*taux_révisé7</f>
        <v>0</v>
      </c>
      <c r="S109" s="10">
        <f>(SUM($D283:R283)-SUM($D259:R259))*taux_révisé7</f>
        <v>0</v>
      </c>
      <c r="T109" s="10">
        <f>(SUM($D283:S283)-SUM($D259:S259))*taux_révisé7</f>
        <v>0</v>
      </c>
      <c r="U109"/>
      <c r="V109" s="10">
        <f>SUM(D109:T109)</f>
        <v>0</v>
      </c>
      <c r="W109" s="353">
        <v>502</v>
      </c>
    </row>
    <row r="110" spans="1:24" s="4" customFormat="1" ht="15">
      <c r="A110" s="17"/>
      <c r="B110" s="12" t="str">
        <f>données!$B17</f>
        <v>emprunt 8</v>
      </c>
      <c r="C110" s="124">
        <v>0</v>
      </c>
      <c r="D110" s="2">
        <v>0</v>
      </c>
      <c r="E110" s="2">
        <v>0</v>
      </c>
      <c r="F110" s="10">
        <f>(SUM($D284:E284)-SUM($D260:E260))*taux_révisé8-E110+C110</f>
        <v>0</v>
      </c>
      <c r="G110" s="10">
        <f>(SUM($D284:F284)-SUM($D260:F260))*taux_révisé8</f>
        <v>0</v>
      </c>
      <c r="H110" s="10">
        <f>(SUM($D284:G284)-SUM($D260:G260))*taux_révisé8</f>
        <v>0</v>
      </c>
      <c r="I110" s="10">
        <f>(SUM($D284:H284)-SUM($D260:H260))*taux_révisé8</f>
        <v>0</v>
      </c>
      <c r="J110" s="10">
        <f>(SUM($D284:I284)-SUM($D260:I260))*taux_révisé8</f>
        <v>0</v>
      </c>
      <c r="K110" s="10">
        <f>(SUM($D284:J284)-SUM($D260:J260))*taux_révisé8</f>
        <v>0</v>
      </c>
      <c r="L110" s="10">
        <f>(SUM($D284:K284)-SUM($D260:K260))*taux_révisé8</f>
        <v>0</v>
      </c>
      <c r="M110" s="10">
        <f>(SUM($D284:L284)-SUM($D260:L260))*taux_révisé8</f>
        <v>0</v>
      </c>
      <c r="N110" s="10">
        <f>(SUM($D284:M284)-SUM($D260:M260))*taux_révisé8</f>
        <v>0</v>
      </c>
      <c r="O110" s="10">
        <f>(SUM($D284:N284)-SUM($D260:N260))*taux_révisé8</f>
        <v>0</v>
      </c>
      <c r="P110" s="10">
        <f>(SUM($D284:O284)-SUM($D260:O260))*taux_révisé8</f>
        <v>0</v>
      </c>
      <c r="Q110" s="10">
        <f>(SUM($D284:P284)-SUM($D260:P260))*taux_révisé8</f>
        <v>0</v>
      </c>
      <c r="R110" s="10">
        <f>(SUM($D284:Q284)-SUM($D260:Q260))*taux_révisé8</f>
        <v>0</v>
      </c>
      <c r="S110" s="10">
        <f>(SUM($D284:R284)-SUM($D260:R260))*taux_révisé8</f>
        <v>0</v>
      </c>
      <c r="T110" s="10">
        <f>(SUM($D284:S284)-SUM($D260:S260))*taux_révisé8</f>
        <v>0</v>
      </c>
      <c r="U110"/>
      <c r="V110" s="10">
        <f>SUM(D110:T110)</f>
        <v>0</v>
      </c>
      <c r="W110" s="353">
        <v>502</v>
      </c>
    </row>
    <row r="111" spans="1:24" s="4" customFormat="1" ht="15" customHeight="1">
      <c r="A111" s="167" t="s">
        <v>8</v>
      </c>
      <c r="B111" s="76"/>
      <c r="C111" s="75" t="s">
        <v>18</v>
      </c>
      <c r="D111" s="29">
        <f>SUM(D102:D110)</f>
        <v>0</v>
      </c>
      <c r="E111" s="29">
        <f t="shared" ref="E111:T111" si="23">SUM(E102:E110)</f>
        <v>0</v>
      </c>
      <c r="F111" s="29">
        <f t="shared" si="23"/>
        <v>0</v>
      </c>
      <c r="G111" s="29">
        <f t="shared" si="23"/>
        <v>0</v>
      </c>
      <c r="H111" s="29">
        <f t="shared" si="23"/>
        <v>0</v>
      </c>
      <c r="I111" s="29">
        <f t="shared" si="23"/>
        <v>0</v>
      </c>
      <c r="J111" s="29">
        <f t="shared" si="23"/>
        <v>0</v>
      </c>
      <c r="K111" s="29">
        <f t="shared" si="23"/>
        <v>0</v>
      </c>
      <c r="L111" s="29">
        <f t="shared" si="23"/>
        <v>0</v>
      </c>
      <c r="M111" s="29">
        <f t="shared" si="23"/>
        <v>0</v>
      </c>
      <c r="N111" s="29">
        <f t="shared" si="23"/>
        <v>0</v>
      </c>
      <c r="O111" s="29">
        <f t="shared" si="23"/>
        <v>0</v>
      </c>
      <c r="P111" s="29">
        <f t="shared" si="23"/>
        <v>0</v>
      </c>
      <c r="Q111" s="29">
        <f t="shared" si="23"/>
        <v>0</v>
      </c>
      <c r="R111" s="29">
        <f t="shared" si="23"/>
        <v>0</v>
      </c>
      <c r="S111" s="29">
        <f t="shared" si="23"/>
        <v>0</v>
      </c>
      <c r="T111" s="29">
        <f t="shared" si="23"/>
        <v>0</v>
      </c>
      <c r="U111" s="29"/>
      <c r="V111" s="29">
        <f>SUM(V102:V110)</f>
        <v>0</v>
      </c>
      <c r="W111" s="354"/>
    </row>
    <row r="112" spans="1:24" s="4" customFormat="1" ht="15" customHeight="1">
      <c r="A112" s="167" t="s">
        <v>8</v>
      </c>
      <c r="B112" s="29" t="s">
        <v>31</v>
      </c>
      <c r="C112" s="322">
        <v>0.06</v>
      </c>
      <c r="D112" s="2">
        <v>141</v>
      </c>
      <c r="E112" s="2">
        <v>0</v>
      </c>
      <c r="F112" s="10">
        <f>IF(taux&gt;0,IF((SUM(E293,F289)-SUM(F18,F38,F100,F111,F113,F126,F134,F142,F251,F261,F263))&lt;-valeur/taux,IF(MONTH(dateCRAC)=12,(SUM(F18,F38,F100,F111,F113,F126,F134,F142,F251,F261,F263)-SUM(E293,F289))*taux+données!E21,(SUM(F18,F38,F100,F111,F113,F126,F134,F142,F251,F261,F263)-SUM(E293,F289))*taux*(12-MONTH(dateCRAC))/12+IF(E293&lt;-valeur/taux,-E293*taux*MONTH(dateCRAC)/12,0)+données!E21),valeur+données!E21),0)</f>
        <v>156</v>
      </c>
      <c r="G112" s="10">
        <f t="shared" ref="G112:T112" si="24">IF(taux&gt;0,IF(G5&gt;datefin,0,IF((SUM(F293,G289)-SUM(G18,G38,G100,G111,G113,G126,G134,G142,G251,G261,G263))&lt;-valeur/taux,(SUM(G18,G38,G100,G111,G113,G126,G134,G142,G251,G261,G263)-SUM(F293,G289))*taux+IF(G5=datefin,valeurfin,0),IF(G5=datefin,valeurfin,valeur))),0)</f>
        <v>120</v>
      </c>
      <c r="H112" s="10">
        <f t="shared" si="24"/>
        <v>89</v>
      </c>
      <c r="I112" s="10">
        <f t="shared" si="24"/>
        <v>64</v>
      </c>
      <c r="J112" s="10">
        <f t="shared" si="24"/>
        <v>24</v>
      </c>
      <c r="K112" s="10">
        <f t="shared" si="24"/>
        <v>0</v>
      </c>
      <c r="L112" s="10">
        <f t="shared" si="24"/>
        <v>59</v>
      </c>
      <c r="M112" s="10">
        <f t="shared" si="24"/>
        <v>4</v>
      </c>
      <c r="N112" s="10">
        <f t="shared" si="24"/>
        <v>0</v>
      </c>
      <c r="O112" s="10">
        <f t="shared" si="24"/>
        <v>0</v>
      </c>
      <c r="P112" s="10">
        <f t="shared" si="24"/>
        <v>0</v>
      </c>
      <c r="Q112" s="10">
        <f t="shared" si="24"/>
        <v>0</v>
      </c>
      <c r="R112" s="10">
        <f t="shared" si="24"/>
        <v>0</v>
      </c>
      <c r="S112" s="10">
        <f t="shared" si="24"/>
        <v>0</v>
      </c>
      <c r="T112" s="10">
        <f t="shared" si="24"/>
        <v>0</v>
      </c>
      <c r="U112"/>
      <c r="V112" s="10">
        <f>SUM(D112:T112)</f>
        <v>657</v>
      </c>
      <c r="W112" s="353">
        <v>504</v>
      </c>
    </row>
    <row r="113" spans="1:26" s="4" customFormat="1" ht="15">
      <c r="A113" s="29" t="s">
        <v>234</v>
      </c>
      <c r="C113" s="382">
        <v>0</v>
      </c>
      <c r="D113" s="2">
        <v>0</v>
      </c>
      <c r="E113" s="153">
        <v>0</v>
      </c>
      <c r="F113" s="17">
        <f>$C$113*SUM(E18:F18,E38:F38,E100:F100,E111:F111,E135,F126,F134,E142:F142,E218:F218,E230:F230,E236:F236,E238:F238,E239:F239,E251:F251,E261:F261,E275:F275,E285:F285)-E113</f>
        <v>0</v>
      </c>
      <c r="G113" s="17">
        <f t="shared" ref="G113:T113" si="25">$C$113*SUM(G18,G38,G100,G111,G126,G134,G142,G218,G230,G236,G238,G239,,G251,G261,G275,G285)</f>
        <v>0</v>
      </c>
      <c r="H113" s="17">
        <f t="shared" si="25"/>
        <v>0</v>
      </c>
      <c r="I113" s="17">
        <f t="shared" si="25"/>
        <v>0</v>
      </c>
      <c r="J113" s="17">
        <f t="shared" si="25"/>
        <v>0</v>
      </c>
      <c r="K113" s="17">
        <f t="shared" si="25"/>
        <v>0</v>
      </c>
      <c r="L113" s="17">
        <f t="shared" si="25"/>
        <v>0</v>
      </c>
      <c r="M113" s="17">
        <f t="shared" si="25"/>
        <v>0</v>
      </c>
      <c r="N113" s="17">
        <f t="shared" si="25"/>
        <v>0</v>
      </c>
      <c r="O113" s="17">
        <f t="shared" si="25"/>
        <v>0</v>
      </c>
      <c r="P113" s="17">
        <f t="shared" si="25"/>
        <v>0</v>
      </c>
      <c r="Q113" s="17">
        <f t="shared" si="25"/>
        <v>0</v>
      </c>
      <c r="R113" s="17">
        <f t="shared" si="25"/>
        <v>0</v>
      </c>
      <c r="S113" s="17">
        <f t="shared" si="25"/>
        <v>0</v>
      </c>
      <c r="T113" s="17">
        <f t="shared" si="25"/>
        <v>0</v>
      </c>
      <c r="U113"/>
      <c r="V113" s="10">
        <f>SUM(D113:T113)</f>
        <v>0</v>
      </c>
      <c r="W113" s="353">
        <v>605</v>
      </c>
    </row>
    <row r="114" spans="1:26" s="4" customFormat="1" ht="15" customHeight="1">
      <c r="A114" s="15"/>
      <c r="B114" s="35"/>
      <c r="C114" s="36" t="s">
        <v>32</v>
      </c>
      <c r="D114" s="14">
        <f>SUM(D111:D113)</f>
        <v>141</v>
      </c>
      <c r="E114" s="14">
        <f>SUM(E111:E113)</f>
        <v>0</v>
      </c>
      <c r="F114" s="14">
        <f>SUM(F111:F113)</f>
        <v>156</v>
      </c>
      <c r="G114" s="14">
        <f t="shared" ref="G114:T114" si="26">SUM(G111:G113)</f>
        <v>120</v>
      </c>
      <c r="H114" s="14">
        <f t="shared" si="26"/>
        <v>89</v>
      </c>
      <c r="I114" s="14">
        <f t="shared" si="26"/>
        <v>64</v>
      </c>
      <c r="J114" s="14">
        <f t="shared" si="26"/>
        <v>24</v>
      </c>
      <c r="K114" s="14">
        <f t="shared" si="26"/>
        <v>0</v>
      </c>
      <c r="L114" s="14">
        <f t="shared" si="26"/>
        <v>59</v>
      </c>
      <c r="M114" s="14">
        <f t="shared" si="26"/>
        <v>4</v>
      </c>
      <c r="N114" s="14">
        <f t="shared" si="26"/>
        <v>0</v>
      </c>
      <c r="O114" s="14">
        <f t="shared" si="26"/>
        <v>0</v>
      </c>
      <c r="P114" s="14">
        <f t="shared" si="26"/>
        <v>0</v>
      </c>
      <c r="Q114" s="14">
        <f t="shared" si="26"/>
        <v>0</v>
      </c>
      <c r="R114" s="14">
        <f t="shared" si="26"/>
        <v>0</v>
      </c>
      <c r="S114" s="14">
        <f t="shared" si="26"/>
        <v>0</v>
      </c>
      <c r="T114" s="14">
        <f t="shared" si="26"/>
        <v>0</v>
      </c>
      <c r="U114"/>
      <c r="V114" s="14">
        <f>SUM(V111:V113)</f>
        <v>657</v>
      </c>
      <c r="W114" s="353"/>
      <c r="X114" s="5"/>
      <c r="Y114" s="5"/>
      <c r="Z114" s="5"/>
    </row>
    <row r="115" spans="1:26" s="4" customFormat="1" ht="20.25">
      <c r="A115" s="38" t="s">
        <v>33</v>
      </c>
      <c r="B115" s="39"/>
      <c r="C115" s="308" t="str">
        <f>CONCATENATE(IF(OR(COUNTIF(A118:A122,"O")=1,COUNTIF(A118:A122,"O")=0),"","ERREUR : un seul taux en gestion à entrer!"),IF(OR(COUNTIF(A129:A132,"O")=1,COUNTIF(A129:A132,"O")=0),"","ERREUR : un seul taux en commercialisation à entrer!"),IF(AND(A9="O",A117="O",COUNTIF(A118:A122,"O")=1),"ATTENTION : rém sur acquisitions prise 2 fois!",""),IF(OR(A124="HT",A124="TTC"),"","ERREUR : seules mentions possibles : HT ou TTC"))</f>
        <v/>
      </c>
      <c r="D115" s="308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/>
      <c r="V115" s="10"/>
      <c r="W115" s="353"/>
      <c r="X115" s="5"/>
      <c r="Y115" s="5"/>
      <c r="Z115" s="5"/>
    </row>
    <row r="116" spans="1:26" s="4" customFormat="1" ht="15">
      <c r="A116" s="137" t="s">
        <v>147</v>
      </c>
      <c r="B116" s="31"/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379"/>
      <c r="V116" s="143">
        <f t="shared" ref="V116:V126" si="27">SUM(D116:T116)</f>
        <v>0</v>
      </c>
      <c r="W116" s="357">
        <v>604</v>
      </c>
      <c r="X116" s="5"/>
      <c r="Y116" s="5"/>
      <c r="Z116" s="5"/>
    </row>
    <row r="117" spans="1:26" s="4" customFormat="1" ht="15">
      <c r="A117" s="17" t="str">
        <f>IF(C117&gt;0,"O","N")</f>
        <v>N</v>
      </c>
      <c r="B117" s="139" t="s">
        <v>34</v>
      </c>
      <c r="C117" s="322">
        <v>0</v>
      </c>
      <c r="D117" s="2">
        <v>0</v>
      </c>
      <c r="E117" s="2">
        <v>0</v>
      </c>
      <c r="F117" s="142">
        <f>SUM(D9:F10)*$C$117-D117-E117</f>
        <v>0</v>
      </c>
      <c r="G117" s="142">
        <f t="shared" ref="G117:T117" si="28">SUM(G9:G10)*$C$117</f>
        <v>0</v>
      </c>
      <c r="H117" s="142">
        <f t="shared" si="28"/>
        <v>0</v>
      </c>
      <c r="I117" s="142">
        <f t="shared" si="28"/>
        <v>0</v>
      </c>
      <c r="J117" s="142">
        <f t="shared" si="28"/>
        <v>0</v>
      </c>
      <c r="K117" s="142">
        <f t="shared" si="28"/>
        <v>0</v>
      </c>
      <c r="L117" s="142">
        <f t="shared" si="28"/>
        <v>0</v>
      </c>
      <c r="M117" s="142">
        <f t="shared" si="28"/>
        <v>0</v>
      </c>
      <c r="N117" s="142">
        <f t="shared" si="28"/>
        <v>0</v>
      </c>
      <c r="O117" s="142">
        <f t="shared" si="28"/>
        <v>0</v>
      </c>
      <c r="P117" s="142">
        <f t="shared" si="28"/>
        <v>0</v>
      </c>
      <c r="Q117" s="142">
        <f t="shared" si="28"/>
        <v>0</v>
      </c>
      <c r="R117" s="142">
        <f t="shared" si="28"/>
        <v>0</v>
      </c>
      <c r="S117" s="142">
        <f t="shared" si="28"/>
        <v>0</v>
      </c>
      <c r="T117" s="142">
        <f t="shared" si="28"/>
        <v>0</v>
      </c>
      <c r="U117" s="379"/>
      <c r="V117" s="143">
        <f t="shared" si="27"/>
        <v>0</v>
      </c>
      <c r="W117" s="357" t="s">
        <v>212</v>
      </c>
      <c r="X117" s="5"/>
      <c r="Y117" s="5"/>
      <c r="Z117" s="5"/>
    </row>
    <row r="118" spans="1:26" s="4" customFormat="1" ht="15" customHeight="1">
      <c r="A118" s="17" t="str">
        <f>IF(C118&gt;0,"O","N")</f>
        <v>N</v>
      </c>
      <c r="B118" s="139" t="s">
        <v>35</v>
      </c>
      <c r="C118" s="322">
        <v>0</v>
      </c>
      <c r="D118" s="2">
        <v>0</v>
      </c>
      <c r="E118" s="2">
        <v>0</v>
      </c>
      <c r="F118" s="142">
        <f>SUM(SUMIF($A$9:$A$111,"=O",D9:D111),SUMIF($A$9:$A$111,"=O",E9:E111),SUMIF($A$9:$A$111,"=O",F9:F111),SUMIF($A$137:$A$141,"=O",D137:D141),SUMIF($A$137:$A$141,"=O",E137:E141),SUMIF($A$137:$A$141,"=O",F137:F141))*$C$118-E118-D118</f>
        <v>0</v>
      </c>
      <c r="G118" s="142">
        <f t="shared" ref="G118:T118" si="29">SUM(SUMIF($A$9:$A$111,"=O",G9:G111),SUMIF($A$137:$A$141,"=O",G137:G141))*$C$118</f>
        <v>0</v>
      </c>
      <c r="H118" s="142">
        <f t="shared" si="29"/>
        <v>0</v>
      </c>
      <c r="I118" s="142">
        <f t="shared" si="29"/>
        <v>0</v>
      </c>
      <c r="J118" s="142">
        <f t="shared" si="29"/>
        <v>0</v>
      </c>
      <c r="K118" s="142">
        <f t="shared" si="29"/>
        <v>0</v>
      </c>
      <c r="L118" s="142">
        <f t="shared" si="29"/>
        <v>0</v>
      </c>
      <c r="M118" s="142">
        <f t="shared" si="29"/>
        <v>0</v>
      </c>
      <c r="N118" s="142">
        <f t="shared" si="29"/>
        <v>0</v>
      </c>
      <c r="O118" s="142">
        <f t="shared" si="29"/>
        <v>0</v>
      </c>
      <c r="P118" s="142">
        <f t="shared" si="29"/>
        <v>0</v>
      </c>
      <c r="Q118" s="142">
        <f t="shared" si="29"/>
        <v>0</v>
      </c>
      <c r="R118" s="142">
        <f t="shared" si="29"/>
        <v>0</v>
      </c>
      <c r="S118" s="142">
        <f t="shared" si="29"/>
        <v>0</v>
      </c>
      <c r="T118" s="142">
        <f t="shared" si="29"/>
        <v>0</v>
      </c>
      <c r="U118" s="379"/>
      <c r="V118" s="142">
        <f t="shared" si="27"/>
        <v>0</v>
      </c>
      <c r="W118" s="357">
        <v>602</v>
      </c>
      <c r="X118" s="5"/>
      <c r="Y118" s="5"/>
      <c r="Z118" s="5"/>
    </row>
    <row r="119" spans="1:26" s="212" customFormat="1" ht="15" customHeight="1">
      <c r="A119" s="313" t="s">
        <v>170</v>
      </c>
      <c r="C119" s="210"/>
      <c r="D119" s="211">
        <f t="shared" ref="D119:T119" si="30">SUMIF($A$9:$A$111,"=O",D9:D111)+IF(AND($A$11="O",$C$11="tva"),D11*tva,0)+IF(AND($A$14="O",$C$14="tva"),D14*tva,0)+IF(AND($A$15="O",$C$15="tva"),D15*tva,0)+IF($A$28="O",SUMIF($C$21:$C$27,"=tva",D21:D27)*tva,0)+IF($A$37="O",SUMIF($C$30:$C$36,"=tva",D30:D36)*tva,0)+IF($A$46="O",SUMIF($C$41:$C$45,"=tva",D41:D45)*tva,0)+IF($A$53="O",SUMIF($C$48:$C$52,"=tva",D48:D52)*tva,0)+IF($A$60="O",SUMIF($C$55:$C$59,"=tva",D55:D59)*tva,0)+IF($A$67="O",SUMIF($C$62:$C$66,"=tva",D62:D66)*tva,0)+IF($A$74="O",SUMIF($C$69:$C$73,"=tva",D69:D73)*tva,0)+IF($A$85="O",SUMIF($C$80:$C$84,"=tva",D80:D84)*tva,0)+IF($A$92="O",SUMIF($C$87:$C$91,"=tva",D87:D91)*tva,0)+IF($A$99="O",SUMIF($C$94:$C$98,"=tva",D94:D98)*tva,0)+IF($A$137="O",IF($C$137="tva",D137*(1+tva),D137),0)+IF($A$138="O",IF($C$138="tva",D138*(1+tva),D138),0)+IF($A$139="O",IF($C$139="tva",D139*(1+tva),D139),0)+IF($A$141="O",IF($C$141="tva",D141*(1+tva),D141),0)</f>
        <v>4459</v>
      </c>
      <c r="E119" s="211">
        <f t="shared" si="30"/>
        <v>0</v>
      </c>
      <c r="F119" s="211">
        <f t="shared" si="30"/>
        <v>240</v>
      </c>
      <c r="G119" s="211">
        <f t="shared" si="30"/>
        <v>68</v>
      </c>
      <c r="H119" s="211">
        <f t="shared" si="30"/>
        <v>67</v>
      </c>
      <c r="I119" s="211">
        <f t="shared" si="30"/>
        <v>201</v>
      </c>
      <c r="J119" s="211">
        <f t="shared" si="30"/>
        <v>0</v>
      </c>
      <c r="K119" s="211">
        <f t="shared" si="30"/>
        <v>0</v>
      </c>
      <c r="L119" s="211">
        <f t="shared" si="30"/>
        <v>1877</v>
      </c>
      <c r="M119" s="211">
        <f t="shared" si="30"/>
        <v>0</v>
      </c>
      <c r="N119" s="211">
        <f t="shared" si="30"/>
        <v>1</v>
      </c>
      <c r="O119" s="211">
        <f t="shared" si="30"/>
        <v>0</v>
      </c>
      <c r="P119" s="211">
        <f t="shared" si="30"/>
        <v>0</v>
      </c>
      <c r="Q119" s="211">
        <f t="shared" si="30"/>
        <v>0</v>
      </c>
      <c r="R119" s="211">
        <f t="shared" si="30"/>
        <v>0</v>
      </c>
      <c r="S119" s="211">
        <f t="shared" si="30"/>
        <v>0</v>
      </c>
      <c r="T119" s="211">
        <f t="shared" si="30"/>
        <v>0</v>
      </c>
      <c r="U119" s="380"/>
      <c r="V119" s="211">
        <f t="shared" si="27"/>
        <v>6913</v>
      </c>
      <c r="W119" s="357">
        <v>602</v>
      </c>
      <c r="X119" s="213"/>
      <c r="Y119" s="213"/>
      <c r="Z119" s="213"/>
    </row>
    <row r="120" spans="1:26" s="4" customFormat="1" ht="15" customHeight="1">
      <c r="A120" s="17" t="str">
        <f>IF(C120&gt;0,"O","N")</f>
        <v>O</v>
      </c>
      <c r="B120" s="139" t="s">
        <v>36</v>
      </c>
      <c r="C120" s="322">
        <v>4.4999999999999998E-2</v>
      </c>
      <c r="D120" s="2">
        <v>200</v>
      </c>
      <c r="E120" s="2">
        <v>0</v>
      </c>
      <c r="F120" s="142">
        <f>SUM(D119:F119)*$C$120-E120-D120</f>
        <v>11</v>
      </c>
      <c r="G120" s="142">
        <f>G119*$C$120</f>
        <v>3</v>
      </c>
      <c r="H120" s="142">
        <f t="shared" ref="H120:T120" si="31">H119*$C$120</f>
        <v>3</v>
      </c>
      <c r="I120" s="142">
        <f t="shared" si="31"/>
        <v>9</v>
      </c>
      <c r="J120" s="142">
        <f t="shared" si="31"/>
        <v>0</v>
      </c>
      <c r="K120" s="142">
        <f t="shared" si="31"/>
        <v>0</v>
      </c>
      <c r="L120" s="142">
        <f t="shared" si="31"/>
        <v>84</v>
      </c>
      <c r="M120" s="142">
        <f t="shared" si="31"/>
        <v>0</v>
      </c>
      <c r="N120" s="142">
        <f t="shared" si="31"/>
        <v>0</v>
      </c>
      <c r="O120" s="142">
        <f t="shared" si="31"/>
        <v>0</v>
      </c>
      <c r="P120" s="142">
        <f t="shared" si="31"/>
        <v>0</v>
      </c>
      <c r="Q120" s="142">
        <f t="shared" si="31"/>
        <v>0</v>
      </c>
      <c r="R120" s="142">
        <f t="shared" si="31"/>
        <v>0</v>
      </c>
      <c r="S120" s="142">
        <f t="shared" si="31"/>
        <v>0</v>
      </c>
      <c r="T120" s="142">
        <f t="shared" si="31"/>
        <v>0</v>
      </c>
      <c r="U120" s="379"/>
      <c r="V120" s="143">
        <f t="shared" si="27"/>
        <v>310</v>
      </c>
      <c r="W120" s="357">
        <v>602</v>
      </c>
      <c r="X120" s="5"/>
      <c r="Y120" s="5"/>
      <c r="Z120" s="5"/>
    </row>
    <row r="121" spans="1:26" s="4" customFormat="1" ht="15">
      <c r="A121" s="17" t="str">
        <f>IF(C121&gt;0,"O","N")</f>
        <v>N</v>
      </c>
      <c r="B121" s="139" t="s">
        <v>37</v>
      </c>
      <c r="C121" s="322">
        <v>0</v>
      </c>
      <c r="D121" s="2">
        <v>0</v>
      </c>
      <c r="E121" s="2">
        <v>0</v>
      </c>
      <c r="F121" s="142">
        <f>SUM(SUMIF($A$9:$A$16,"=O",D9:D16),SUMIF($A$9:$A$16,"=O",E9:E16),SUMIF($A$9:$A$16,"=O",F9:F16),D37:F37,D100:F100,IF($A$111="O",SUM(D111:F111),0),SUMIF($A$137:$A$141,"=O",D137:D141),SUMIF($A$137:$A$141,"=O",E137:E141),SUMIF($A$137:$A$141,"=O",F137:F141),D196:F196)/2*$C$121-E121-D121</f>
        <v>0</v>
      </c>
      <c r="G121" s="142">
        <f t="shared" ref="G121:T121" si="32">SUM(SUMIF($A$9:$A$16,"=O",G9:G16),G37,G100,IF($A$111="O",G111,0),SUMIF($A$137:$A$141,"=O",G137:G141),G196)/2*$C$121</f>
        <v>0</v>
      </c>
      <c r="H121" s="142">
        <f t="shared" si="32"/>
        <v>0</v>
      </c>
      <c r="I121" s="142">
        <f t="shared" si="32"/>
        <v>0</v>
      </c>
      <c r="J121" s="142">
        <f t="shared" si="32"/>
        <v>0</v>
      </c>
      <c r="K121" s="142">
        <f t="shared" si="32"/>
        <v>0</v>
      </c>
      <c r="L121" s="142">
        <f t="shared" si="32"/>
        <v>0</v>
      </c>
      <c r="M121" s="142">
        <f t="shared" si="32"/>
        <v>0</v>
      </c>
      <c r="N121" s="142">
        <f t="shared" si="32"/>
        <v>0</v>
      </c>
      <c r="O121" s="142">
        <f t="shared" si="32"/>
        <v>0</v>
      </c>
      <c r="P121" s="142">
        <f t="shared" si="32"/>
        <v>0</v>
      </c>
      <c r="Q121" s="142">
        <f t="shared" si="32"/>
        <v>0</v>
      </c>
      <c r="R121" s="142">
        <f t="shared" si="32"/>
        <v>0</v>
      </c>
      <c r="S121" s="142">
        <f t="shared" si="32"/>
        <v>0</v>
      </c>
      <c r="T121" s="142">
        <f t="shared" si="32"/>
        <v>0</v>
      </c>
      <c r="U121" s="379"/>
      <c r="V121" s="143">
        <f t="shared" si="27"/>
        <v>0</v>
      </c>
      <c r="W121" s="357">
        <v>602</v>
      </c>
      <c r="X121" s="5"/>
      <c r="Y121" s="5"/>
      <c r="Z121" s="5"/>
    </row>
    <row r="122" spans="1:26" s="4" customFormat="1" ht="15">
      <c r="A122" s="17" t="str">
        <f>IF(C122&gt;0,"O","N")</f>
        <v>N</v>
      </c>
      <c r="B122" s="139" t="s">
        <v>38</v>
      </c>
      <c r="C122" s="322">
        <v>0</v>
      </c>
      <c r="D122" s="2">
        <v>0</v>
      </c>
      <c r="E122" s="2">
        <v>0</v>
      </c>
      <c r="F122" s="142">
        <f>SUM(E119:F119,D130:F130)/2*$C$122-D122-E122</f>
        <v>0</v>
      </c>
      <c r="G122" s="142">
        <f>SUM(G119,G130)/2*$C$122</f>
        <v>0</v>
      </c>
      <c r="H122" s="142">
        <f t="shared" ref="H122:T122" si="33">SUM(H119,H130)/2*$C$122</f>
        <v>0</v>
      </c>
      <c r="I122" s="142">
        <f t="shared" si="33"/>
        <v>0</v>
      </c>
      <c r="J122" s="142">
        <f t="shared" si="33"/>
        <v>0</v>
      </c>
      <c r="K122" s="142">
        <f t="shared" si="33"/>
        <v>0</v>
      </c>
      <c r="L122" s="142">
        <f t="shared" si="33"/>
        <v>0</v>
      </c>
      <c r="M122" s="142">
        <f t="shared" si="33"/>
        <v>0</v>
      </c>
      <c r="N122" s="142">
        <f t="shared" si="33"/>
        <v>0</v>
      </c>
      <c r="O122" s="142">
        <f t="shared" si="33"/>
        <v>0</v>
      </c>
      <c r="P122" s="142">
        <f t="shared" si="33"/>
        <v>0</v>
      </c>
      <c r="Q122" s="142">
        <f t="shared" si="33"/>
        <v>0</v>
      </c>
      <c r="R122" s="142">
        <f t="shared" si="33"/>
        <v>0</v>
      </c>
      <c r="S122" s="142">
        <f t="shared" si="33"/>
        <v>0</v>
      </c>
      <c r="T122" s="142">
        <f t="shared" si="33"/>
        <v>0</v>
      </c>
      <c r="U122" s="379"/>
      <c r="V122" s="143">
        <f t="shared" si="27"/>
        <v>0</v>
      </c>
      <c r="W122" s="357">
        <v>602</v>
      </c>
      <c r="X122" s="5"/>
      <c r="Y122" s="5"/>
      <c r="Z122" s="5"/>
    </row>
    <row r="123" spans="1:26" s="146" customFormat="1" ht="15">
      <c r="A123" s="391" t="s">
        <v>235</v>
      </c>
      <c r="B123" s="388"/>
      <c r="C123" s="392">
        <f>IF(A112="O",SUM(C118:C122),0)</f>
        <v>4.4999999999999998E-2</v>
      </c>
      <c r="D123" s="142">
        <v>0</v>
      </c>
      <c r="E123" s="142">
        <v>0</v>
      </c>
      <c r="F123" s="142">
        <f>F112*$C$123</f>
        <v>7</v>
      </c>
      <c r="G123" s="142">
        <f>G112*$C$123</f>
        <v>5</v>
      </c>
      <c r="H123" s="142">
        <f t="shared" ref="H123:T123" si="34">H112*$C$123</f>
        <v>4</v>
      </c>
      <c r="I123" s="142">
        <f t="shared" si="34"/>
        <v>3</v>
      </c>
      <c r="J123" s="142">
        <f t="shared" si="34"/>
        <v>1</v>
      </c>
      <c r="K123" s="142">
        <f t="shared" si="34"/>
        <v>0</v>
      </c>
      <c r="L123" s="142">
        <f t="shared" si="34"/>
        <v>3</v>
      </c>
      <c r="M123" s="142">
        <f t="shared" si="34"/>
        <v>0</v>
      </c>
      <c r="N123" s="142">
        <f t="shared" si="34"/>
        <v>0</v>
      </c>
      <c r="O123" s="142">
        <f t="shared" si="34"/>
        <v>0</v>
      </c>
      <c r="P123" s="142">
        <f t="shared" si="34"/>
        <v>0</v>
      </c>
      <c r="Q123" s="142">
        <f t="shared" si="34"/>
        <v>0</v>
      </c>
      <c r="R123" s="142">
        <f t="shared" si="34"/>
        <v>0</v>
      </c>
      <c r="S123" s="142">
        <f t="shared" si="34"/>
        <v>0</v>
      </c>
      <c r="T123" s="142">
        <f t="shared" si="34"/>
        <v>0</v>
      </c>
      <c r="U123" s="389"/>
      <c r="V123" s="143">
        <f t="shared" si="27"/>
        <v>23</v>
      </c>
      <c r="W123" s="390"/>
      <c r="X123" s="147"/>
      <c r="Y123" s="147"/>
      <c r="Z123" s="147"/>
    </row>
    <row r="124" spans="1:26" s="4" customFormat="1" ht="15">
      <c r="A124" s="323" t="s">
        <v>172</v>
      </c>
      <c r="B124" s="30" t="s">
        <v>221</v>
      </c>
      <c r="C124" s="322">
        <v>5.0000000000000001E-3</v>
      </c>
      <c r="D124" s="2">
        <v>0</v>
      </c>
      <c r="E124" s="2">
        <v>0</v>
      </c>
      <c r="F124" s="142">
        <f>IF(F5=datefin,$C$124*IF($A$124="HT",($V$218-SUM($V$116:$V$118,$V$120:$V$122,$V$125,$V$134))/(1+$C$124),($V$218-SUM($V$116:$V$118,$V$120:$V$122,$V$125,$V$134,$V$238))/(1+$C$124)),0)-D124-E124</f>
        <v>0</v>
      </c>
      <c r="G124" s="142">
        <f t="shared" ref="G124:S124" si="35">IF(G5=datefin,$C$124*IF($A$124="HT",($V$218-SUM($V$116:$V$118,$V$120:$V$122,$V$125,$V$134))/(1+$C$124),($V$218-SUM($V$116:$V$118,$V$120:$V$122,$V$125,$V$134,$V$238))/(1+$C$124)),0)</f>
        <v>0</v>
      </c>
      <c r="H124" s="142">
        <f t="shared" si="35"/>
        <v>0</v>
      </c>
      <c r="I124" s="142">
        <f t="shared" si="35"/>
        <v>0</v>
      </c>
      <c r="J124" s="142">
        <f t="shared" si="35"/>
        <v>0</v>
      </c>
      <c r="K124" s="142">
        <f t="shared" si="35"/>
        <v>0</v>
      </c>
      <c r="L124" s="142">
        <f t="shared" si="35"/>
        <v>0</v>
      </c>
      <c r="M124" s="142">
        <f t="shared" si="35"/>
        <v>0</v>
      </c>
      <c r="N124" s="142">
        <f t="shared" si="35"/>
        <v>0</v>
      </c>
      <c r="O124" s="142">
        <f t="shared" si="35"/>
        <v>0</v>
      </c>
      <c r="P124" s="142">
        <f t="shared" si="35"/>
        <v>0</v>
      </c>
      <c r="Q124" s="142">
        <f t="shared" si="35"/>
        <v>0</v>
      </c>
      <c r="R124" s="142">
        <f t="shared" si="35"/>
        <v>0</v>
      </c>
      <c r="S124" s="142">
        <f t="shared" si="35"/>
        <v>34</v>
      </c>
      <c r="T124" s="142">
        <f>IF(OR(T5=datefin,T5&lt;datefin),$C$124*IF($A$124="HT",($V$218-SUM($V$116:$V$118,$V$120:$V$122,$V$125,$V$134))/(1+$C$124),($V$218-SUM($V$116:$V$118,$V$120:$V$122,$V$125,$V$134,$V$238))/(1+$C$124)),0)</f>
        <v>0</v>
      </c>
      <c r="U124" s="379"/>
      <c r="V124" s="143">
        <f t="shared" si="27"/>
        <v>34</v>
      </c>
      <c r="W124" s="357">
        <v>603</v>
      </c>
      <c r="X124" s="5"/>
      <c r="Y124" s="5"/>
      <c r="Z124" s="5"/>
    </row>
    <row r="125" spans="1:26" s="4" customFormat="1" ht="15">
      <c r="A125" s="319"/>
      <c r="B125" s="123" t="s">
        <v>39</v>
      </c>
      <c r="C125" s="348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379"/>
      <c r="V125" s="143">
        <f t="shared" si="27"/>
        <v>0</v>
      </c>
      <c r="W125" s="357">
        <v>604</v>
      </c>
      <c r="X125" s="5"/>
      <c r="Y125" s="5"/>
      <c r="Z125" s="5"/>
    </row>
    <row r="126" spans="1:26" s="212" customFormat="1" hidden="1">
      <c r="A126" s="313" t="s">
        <v>236</v>
      </c>
      <c r="B126" s="385"/>
      <c r="C126" s="386"/>
      <c r="D126" s="387">
        <f t="shared" ref="D126:T126" si="36">SUM(D116:D118,D120:D122,D124:D125)</f>
        <v>200</v>
      </c>
      <c r="E126" s="387">
        <f t="shared" si="36"/>
        <v>0</v>
      </c>
      <c r="F126" s="387">
        <f t="shared" si="36"/>
        <v>11</v>
      </c>
      <c r="G126" s="387">
        <f t="shared" si="36"/>
        <v>3</v>
      </c>
      <c r="H126" s="387">
        <f t="shared" si="36"/>
        <v>3</v>
      </c>
      <c r="I126" s="387">
        <f t="shared" si="36"/>
        <v>9</v>
      </c>
      <c r="J126" s="387">
        <f t="shared" si="36"/>
        <v>0</v>
      </c>
      <c r="K126" s="387">
        <f t="shared" si="36"/>
        <v>0</v>
      </c>
      <c r="L126" s="387">
        <f t="shared" si="36"/>
        <v>84</v>
      </c>
      <c r="M126" s="387">
        <f t="shared" si="36"/>
        <v>0</v>
      </c>
      <c r="N126" s="387">
        <f t="shared" si="36"/>
        <v>0</v>
      </c>
      <c r="O126" s="387">
        <f t="shared" si="36"/>
        <v>0</v>
      </c>
      <c r="P126" s="387">
        <f t="shared" si="36"/>
        <v>0</v>
      </c>
      <c r="Q126" s="387">
        <f t="shared" si="36"/>
        <v>0</v>
      </c>
      <c r="R126" s="387">
        <f t="shared" si="36"/>
        <v>0</v>
      </c>
      <c r="S126" s="387">
        <f t="shared" si="36"/>
        <v>34</v>
      </c>
      <c r="T126" s="387">
        <f t="shared" si="36"/>
        <v>0</v>
      </c>
      <c r="U126" s="384"/>
      <c r="V126" s="211">
        <f t="shared" si="27"/>
        <v>344</v>
      </c>
      <c r="W126" s="383"/>
      <c r="X126" s="213"/>
      <c r="Y126" s="213"/>
      <c r="Z126" s="213"/>
    </row>
    <row r="127" spans="1:26" s="4" customFormat="1" ht="15">
      <c r="A127" s="29"/>
      <c r="B127" s="31"/>
      <c r="C127" s="75" t="s">
        <v>18</v>
      </c>
      <c r="D127" s="29">
        <f t="shared" ref="D127:T127" si="37">SUM(D116:D118,D120:D125)</f>
        <v>200</v>
      </c>
      <c r="E127" s="29">
        <f t="shared" si="37"/>
        <v>0</v>
      </c>
      <c r="F127" s="29">
        <f t="shared" si="37"/>
        <v>18</v>
      </c>
      <c r="G127" s="29">
        <f t="shared" si="37"/>
        <v>8</v>
      </c>
      <c r="H127" s="29">
        <f t="shared" si="37"/>
        <v>7</v>
      </c>
      <c r="I127" s="73">
        <f t="shared" si="37"/>
        <v>12</v>
      </c>
      <c r="J127" s="73">
        <f t="shared" si="37"/>
        <v>1</v>
      </c>
      <c r="K127" s="29">
        <f t="shared" si="37"/>
        <v>0</v>
      </c>
      <c r="L127" s="29">
        <f t="shared" si="37"/>
        <v>87</v>
      </c>
      <c r="M127" s="29">
        <f t="shared" si="37"/>
        <v>0</v>
      </c>
      <c r="N127" s="29">
        <f t="shared" si="37"/>
        <v>0</v>
      </c>
      <c r="O127" s="29">
        <f t="shared" si="37"/>
        <v>0</v>
      </c>
      <c r="P127" s="29">
        <f t="shared" si="37"/>
        <v>0</v>
      </c>
      <c r="Q127" s="29">
        <f t="shared" si="37"/>
        <v>0</v>
      </c>
      <c r="R127" s="29">
        <f t="shared" si="37"/>
        <v>0</v>
      </c>
      <c r="S127" s="29">
        <f t="shared" si="37"/>
        <v>34</v>
      </c>
      <c r="T127" s="73">
        <f t="shared" si="37"/>
        <v>0</v>
      </c>
      <c r="U127" s="379"/>
      <c r="V127" s="73">
        <f>SUM(V116:V118,V120:V125)</f>
        <v>367</v>
      </c>
      <c r="W127" s="354"/>
      <c r="X127" s="5"/>
      <c r="Y127" s="5"/>
      <c r="Z127" s="5"/>
    </row>
    <row r="128" spans="1:26" s="146" customFormat="1" ht="15">
      <c r="A128" s="137" t="s">
        <v>117</v>
      </c>
      <c r="B128" s="145"/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379"/>
      <c r="V128" s="143">
        <f t="shared" ref="V128:V133" si="38">SUM(D128:T128)</f>
        <v>0</v>
      </c>
      <c r="W128" s="357">
        <v>612</v>
      </c>
      <c r="X128" s="147"/>
      <c r="Y128" s="147"/>
      <c r="Z128" s="147"/>
    </row>
    <row r="129" spans="1:50" s="4" customFormat="1" ht="15">
      <c r="A129" s="17" t="str">
        <f>IF(C129&gt;0,"O","N")</f>
        <v>N</v>
      </c>
      <c r="B129" s="139" t="s">
        <v>215</v>
      </c>
      <c r="C129" s="322">
        <v>0</v>
      </c>
      <c r="D129" s="2">
        <v>0</v>
      </c>
      <c r="E129" s="2">
        <v>0</v>
      </c>
      <c r="F129" s="142">
        <f>SUM(SUMIF($A$158:$A$215,"=O",D158:D215),SUMIF($A$158:$A$215,"=O",E158:E215),SUMIF($A$158:$A$215,"=O",F158:F215))*$C$129-E129-D129</f>
        <v>0</v>
      </c>
      <c r="G129" s="142">
        <f>SUMIF($A$158:$A$216,"=O",G158:G216)*$C$129</f>
        <v>0</v>
      </c>
      <c r="H129" s="142">
        <f t="shared" ref="H129:T129" si="39">SUMIF($A$158:$A$216,"=O",H158:H216)*$C$129</f>
        <v>0</v>
      </c>
      <c r="I129" s="142">
        <f t="shared" si="39"/>
        <v>0</v>
      </c>
      <c r="J129" s="142">
        <f t="shared" si="39"/>
        <v>0</v>
      </c>
      <c r="K129" s="142">
        <f t="shared" si="39"/>
        <v>0</v>
      </c>
      <c r="L129" s="142">
        <f t="shared" si="39"/>
        <v>0</v>
      </c>
      <c r="M129" s="142">
        <f t="shared" si="39"/>
        <v>0</v>
      </c>
      <c r="N129" s="142">
        <f t="shared" si="39"/>
        <v>0</v>
      </c>
      <c r="O129" s="142">
        <f t="shared" si="39"/>
        <v>0</v>
      </c>
      <c r="P129" s="142">
        <f t="shared" si="39"/>
        <v>0</v>
      </c>
      <c r="Q129" s="142">
        <f t="shared" si="39"/>
        <v>0</v>
      </c>
      <c r="R129" s="142">
        <f t="shared" si="39"/>
        <v>0</v>
      </c>
      <c r="S129" s="142">
        <f t="shared" si="39"/>
        <v>0</v>
      </c>
      <c r="T129" s="142">
        <f t="shared" si="39"/>
        <v>0</v>
      </c>
      <c r="U129" s="379"/>
      <c r="V129" s="142">
        <f t="shared" si="38"/>
        <v>0</v>
      </c>
      <c r="W129" s="353">
        <v>611</v>
      </c>
      <c r="X129" s="5"/>
      <c r="Y129" s="5"/>
      <c r="Z129" s="5"/>
    </row>
    <row r="130" spans="1:50" s="318" customFormat="1">
      <c r="A130" s="313" t="s">
        <v>216</v>
      </c>
      <c r="B130" s="369"/>
      <c r="C130" s="370"/>
      <c r="D130" s="211">
        <f t="shared" ref="D130:T130" si="40">SUM(IF($A$158="O",IF(OR(_tva1="droits",typetva1="marge TTC"),D158,D158*(1+_tva1)),0),IF($A$167="O",IF(OR(_tva2="droits",typetva2="marge TTC"),D167,D167*(1+_tva2)),0),IF($A$176="O",IF(OR(_tva3="droits",typetva3="marge TTC"),D176,D176*(1+_tva3)),0),IF($A$185="O",IF(OR(_tva4="droits",typetva4="marge TTC"),D185,D185*(1+_tva4)),0),IF($A$194="O",IF(OR(_tva5="droits",typetva5="marge TTC"),D194,D194*(1+_tva5)),0))</f>
        <v>0</v>
      </c>
      <c r="E130" s="211">
        <f t="shared" si="40"/>
        <v>0</v>
      </c>
      <c r="F130" s="211">
        <f t="shared" si="40"/>
        <v>0</v>
      </c>
      <c r="G130" s="211">
        <f t="shared" si="40"/>
        <v>885</v>
      </c>
      <c r="H130" s="211">
        <f t="shared" si="40"/>
        <v>885</v>
      </c>
      <c r="I130" s="211">
        <f t="shared" si="40"/>
        <v>885</v>
      </c>
      <c r="J130" s="211">
        <f t="shared" si="40"/>
        <v>885</v>
      </c>
      <c r="K130" s="211">
        <f t="shared" si="40"/>
        <v>885</v>
      </c>
      <c r="L130" s="211">
        <f t="shared" si="40"/>
        <v>885</v>
      </c>
      <c r="M130" s="211">
        <f t="shared" si="40"/>
        <v>885</v>
      </c>
      <c r="N130" s="211">
        <f t="shared" si="40"/>
        <v>885</v>
      </c>
      <c r="O130" s="211">
        <f t="shared" si="40"/>
        <v>885</v>
      </c>
      <c r="P130" s="211">
        <f t="shared" si="40"/>
        <v>885</v>
      </c>
      <c r="Q130" s="211">
        <f t="shared" si="40"/>
        <v>0</v>
      </c>
      <c r="R130" s="211">
        <f t="shared" si="40"/>
        <v>0</v>
      </c>
      <c r="S130" s="211">
        <f t="shared" si="40"/>
        <v>0</v>
      </c>
      <c r="T130" s="211">
        <f t="shared" si="40"/>
        <v>0</v>
      </c>
      <c r="U130" s="381"/>
      <c r="V130" s="211">
        <f t="shared" si="38"/>
        <v>8850</v>
      </c>
      <c r="W130" s="353"/>
      <c r="X130" s="371"/>
      <c r="Y130" s="371"/>
      <c r="Z130" s="371"/>
    </row>
    <row r="131" spans="1:50" s="318" customFormat="1">
      <c r="A131" s="313" t="s">
        <v>218</v>
      </c>
      <c r="B131" s="369"/>
      <c r="C131" s="370"/>
      <c r="D131" s="211">
        <f t="shared" ref="D131:T131" si="41">SUM(SUMIF($A$198:$A$204,"=O",D198:D204),IF($A$207="O",D207,0),IF($A$208="O",IF($C$208="tva",D208*(1+tva),D208),0),IF($A$209="O",IF($C$209="tva",D209*(1+tva),D209),0),IF($A$212="O",IF($C$212="tva",D212*(1+tva),D212),0),IF($A$213="O",IF($C$213="tva",D213*(1+tva),D213),0),IF($A$214="O",IF($C$214="tva",D214*(1+tva),D214),0),IF($A$215="O",IF($C$215="tva",D215*(1+tva),D215),0),0)</f>
        <v>0</v>
      </c>
      <c r="E131" s="211">
        <f t="shared" si="41"/>
        <v>0</v>
      </c>
      <c r="F131" s="211">
        <f>SUM(SUMIF($A$198:$A$204,"=O",F198:F204),IF($A$207="O",F207,0),IF($A$208="O",IF($C$208="tva",F208*(1+tva),F208),0),IF($A$209="O",IF($C$209="tva",F209*(1+tva),F209),0),IF($A$212="O",IF($C$212="tva",F212*(1+tva),F212),0),IF($A$213="O",IF($C$213="tva",F213*(1+tva),F213),0),IF($A$214="O",IF($C$214="tva",F214*(1+tva),F214),0),IF($A$215="O",IF($C$215="tva",F215*(1+tva),F215),0),0)</f>
        <v>0</v>
      </c>
      <c r="G131" s="211">
        <f t="shared" si="41"/>
        <v>0</v>
      </c>
      <c r="H131" s="211">
        <f t="shared" si="41"/>
        <v>0</v>
      </c>
      <c r="I131" s="211">
        <f t="shared" si="41"/>
        <v>0</v>
      </c>
      <c r="J131" s="211">
        <f t="shared" si="41"/>
        <v>0</v>
      </c>
      <c r="K131" s="211">
        <f t="shared" si="41"/>
        <v>0</v>
      </c>
      <c r="L131" s="211">
        <f t="shared" si="41"/>
        <v>0</v>
      </c>
      <c r="M131" s="211">
        <f t="shared" si="41"/>
        <v>0</v>
      </c>
      <c r="N131" s="211">
        <f t="shared" si="41"/>
        <v>0</v>
      </c>
      <c r="O131" s="211">
        <f t="shared" si="41"/>
        <v>0</v>
      </c>
      <c r="P131" s="211">
        <f t="shared" si="41"/>
        <v>0</v>
      </c>
      <c r="Q131" s="211">
        <f t="shared" si="41"/>
        <v>0</v>
      </c>
      <c r="R131" s="211">
        <f t="shared" si="41"/>
        <v>0</v>
      </c>
      <c r="S131" s="211">
        <f t="shared" si="41"/>
        <v>0</v>
      </c>
      <c r="T131" s="211">
        <f t="shared" si="41"/>
        <v>0</v>
      </c>
      <c r="U131" s="381"/>
      <c r="V131" s="211">
        <f t="shared" si="38"/>
        <v>0</v>
      </c>
      <c r="W131" s="353"/>
      <c r="X131" s="371"/>
      <c r="Y131" s="371"/>
      <c r="Z131" s="371"/>
    </row>
    <row r="132" spans="1:50" s="4" customFormat="1" ht="15" customHeight="1">
      <c r="A132" s="17" t="str">
        <f>IF(C132&gt;0,"O","N")</f>
        <v>O</v>
      </c>
      <c r="B132" s="139" t="s">
        <v>217</v>
      </c>
      <c r="C132" s="322">
        <v>4.4999999999999998E-2</v>
      </c>
      <c r="D132" s="2">
        <v>0</v>
      </c>
      <c r="E132" s="2">
        <v>0</v>
      </c>
      <c r="F132" s="142">
        <f>SUM(D130:F130,D131:F131)*$C$132-E132-D132</f>
        <v>0</v>
      </c>
      <c r="G132" s="10">
        <f>SUM(G130:G131)*$C$132</f>
        <v>40</v>
      </c>
      <c r="H132" s="10">
        <f t="shared" ref="H132:T132" si="42">SUM(H130:H131)*$C$132</f>
        <v>40</v>
      </c>
      <c r="I132" s="10">
        <f t="shared" si="42"/>
        <v>40</v>
      </c>
      <c r="J132" s="10">
        <f t="shared" si="42"/>
        <v>40</v>
      </c>
      <c r="K132" s="10">
        <f t="shared" si="42"/>
        <v>40</v>
      </c>
      <c r="L132" s="10">
        <f t="shared" si="42"/>
        <v>40</v>
      </c>
      <c r="M132" s="10">
        <f t="shared" si="42"/>
        <v>40</v>
      </c>
      <c r="N132" s="10">
        <f t="shared" si="42"/>
        <v>40</v>
      </c>
      <c r="O132" s="10">
        <f t="shared" si="42"/>
        <v>40</v>
      </c>
      <c r="P132" s="10">
        <f t="shared" si="42"/>
        <v>40</v>
      </c>
      <c r="Q132" s="10">
        <f t="shared" si="42"/>
        <v>0</v>
      </c>
      <c r="R132" s="10">
        <f t="shared" si="42"/>
        <v>0</v>
      </c>
      <c r="S132" s="10">
        <f t="shared" si="42"/>
        <v>0</v>
      </c>
      <c r="T132" s="10">
        <f t="shared" si="42"/>
        <v>0</v>
      </c>
      <c r="U132" s="379"/>
      <c r="V132" s="143">
        <f t="shared" si="38"/>
        <v>400</v>
      </c>
      <c r="W132" s="357">
        <v>611</v>
      </c>
      <c r="X132" s="5"/>
      <c r="Y132" s="5"/>
      <c r="Z132" s="5"/>
    </row>
    <row r="133" spans="1:50" s="4" customFormat="1" ht="15">
      <c r="A133" s="319"/>
      <c r="B133" s="123" t="s">
        <v>148</v>
      </c>
      <c r="C133" s="124"/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379"/>
      <c r="V133" s="143">
        <f t="shared" si="38"/>
        <v>0</v>
      </c>
      <c r="W133" s="357">
        <v>612</v>
      </c>
      <c r="X133" s="5"/>
      <c r="Y133" s="5"/>
      <c r="Z133" s="5"/>
    </row>
    <row r="134" spans="1:50" s="4" customFormat="1" ht="15">
      <c r="A134" s="29"/>
      <c r="B134" s="31"/>
      <c r="C134" s="75" t="s">
        <v>18</v>
      </c>
      <c r="D134" s="29">
        <f>SUM(D128:D129,D132:D133)</f>
        <v>0</v>
      </c>
      <c r="E134" s="29">
        <f t="shared" ref="E134:V134" si="43">SUM(E128:E129,E132:E133)</f>
        <v>0</v>
      </c>
      <c r="F134" s="29">
        <f t="shared" si="43"/>
        <v>0</v>
      </c>
      <c r="G134" s="29">
        <f t="shared" si="43"/>
        <v>40</v>
      </c>
      <c r="H134" s="29">
        <f t="shared" si="43"/>
        <v>40</v>
      </c>
      <c r="I134" s="29">
        <f t="shared" si="43"/>
        <v>40</v>
      </c>
      <c r="J134" s="29">
        <f t="shared" si="43"/>
        <v>40</v>
      </c>
      <c r="K134" s="29">
        <f t="shared" si="43"/>
        <v>40</v>
      </c>
      <c r="L134" s="29">
        <f t="shared" si="43"/>
        <v>40</v>
      </c>
      <c r="M134" s="29">
        <f t="shared" si="43"/>
        <v>40</v>
      </c>
      <c r="N134" s="29">
        <f t="shared" si="43"/>
        <v>40</v>
      </c>
      <c r="O134" s="29">
        <f t="shared" si="43"/>
        <v>40</v>
      </c>
      <c r="P134" s="29">
        <f t="shared" si="43"/>
        <v>40</v>
      </c>
      <c r="Q134" s="29">
        <f t="shared" si="43"/>
        <v>0</v>
      </c>
      <c r="R134" s="29">
        <f t="shared" si="43"/>
        <v>0</v>
      </c>
      <c r="S134" s="29">
        <f t="shared" si="43"/>
        <v>0</v>
      </c>
      <c r="T134" s="73">
        <f t="shared" si="43"/>
        <v>0</v>
      </c>
      <c r="U134" s="379"/>
      <c r="V134" s="29">
        <f t="shared" si="43"/>
        <v>400</v>
      </c>
      <c r="W134" s="354"/>
      <c r="X134" s="5"/>
      <c r="Y134" s="5"/>
      <c r="Z134" s="5"/>
    </row>
    <row r="135" spans="1:50" s="4" customFormat="1" ht="15" customHeight="1">
      <c r="A135" s="15"/>
      <c r="B135" s="35"/>
      <c r="C135" s="36" t="s">
        <v>40</v>
      </c>
      <c r="D135" s="14">
        <f>SUM(D134,D127)</f>
        <v>200</v>
      </c>
      <c r="E135" s="14">
        <f>SUM(E134,E127)</f>
        <v>0</v>
      </c>
      <c r="F135" s="14">
        <f>SUM(F134,F127)</f>
        <v>18</v>
      </c>
      <c r="G135" s="14">
        <f>SUM(G134,G127)</f>
        <v>48</v>
      </c>
      <c r="H135" s="14">
        <f>SUM(H134,H127)</f>
        <v>47</v>
      </c>
      <c r="I135" s="14">
        <f t="shared" ref="I135:T135" si="44">SUM(I127,I134)</f>
        <v>52</v>
      </c>
      <c r="J135" s="14">
        <f t="shared" si="44"/>
        <v>41</v>
      </c>
      <c r="K135" s="14">
        <f t="shared" si="44"/>
        <v>40</v>
      </c>
      <c r="L135" s="14">
        <f t="shared" si="44"/>
        <v>127</v>
      </c>
      <c r="M135" s="14">
        <f t="shared" si="44"/>
        <v>40</v>
      </c>
      <c r="N135" s="14">
        <f t="shared" si="44"/>
        <v>40</v>
      </c>
      <c r="O135" s="14">
        <f t="shared" si="44"/>
        <v>40</v>
      </c>
      <c r="P135" s="14">
        <f t="shared" si="44"/>
        <v>40</v>
      </c>
      <c r="Q135" s="14">
        <f t="shared" si="44"/>
        <v>0</v>
      </c>
      <c r="R135" s="14">
        <f t="shared" si="44"/>
        <v>0</v>
      </c>
      <c r="S135" s="14">
        <f t="shared" si="44"/>
        <v>34</v>
      </c>
      <c r="T135" s="14">
        <f t="shared" si="44"/>
        <v>0</v>
      </c>
      <c r="U135"/>
      <c r="V135" s="14">
        <f>SUM(V127,V134)</f>
        <v>767</v>
      </c>
      <c r="W135" s="353"/>
      <c r="X135" s="5"/>
      <c r="Y135" s="5"/>
      <c r="Z135" s="5"/>
    </row>
    <row r="136" spans="1:50" s="4" customFormat="1" ht="15">
      <c r="A136" s="38" t="s">
        <v>41</v>
      </c>
      <c r="B136" s="39"/>
      <c r="C136" s="4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/>
      <c r="V136" s="10"/>
      <c r="W136" s="353"/>
      <c r="X136" s="5"/>
      <c r="Y136" s="5"/>
      <c r="Z136" s="5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</row>
    <row r="137" spans="1:50" s="4" customFormat="1" ht="15" customHeight="1">
      <c r="A137" s="166" t="s">
        <v>8</v>
      </c>
      <c r="B137" s="123" t="s">
        <v>257</v>
      </c>
      <c r="C137" s="169" t="s">
        <v>0</v>
      </c>
      <c r="D137" s="2">
        <v>5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/>
      <c r="V137" s="10">
        <f>SUM(D137:T137)</f>
        <v>5</v>
      </c>
      <c r="W137" s="353">
        <v>701</v>
      </c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</row>
    <row r="138" spans="1:50" s="4" customFormat="1" ht="15">
      <c r="A138" s="166" t="s">
        <v>8</v>
      </c>
      <c r="B138" s="123" t="s">
        <v>42</v>
      </c>
      <c r="C138" s="169" t="s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/>
      <c r="V138" s="82">
        <f>SUM(D138:T138)</f>
        <v>0</v>
      </c>
      <c r="W138" s="357">
        <v>707</v>
      </c>
      <c r="X138" s="5"/>
      <c r="Y138" s="5"/>
    </row>
    <row r="139" spans="1:50" s="4" customFormat="1" ht="15">
      <c r="A139" s="166" t="s">
        <v>8</v>
      </c>
      <c r="B139" s="123" t="s">
        <v>43</v>
      </c>
      <c r="C139" s="169" t="s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/>
      <c r="V139" s="10">
        <f>SUM(D139:T139)</f>
        <v>0</v>
      </c>
      <c r="W139" s="353">
        <v>711</v>
      </c>
      <c r="X139" s="5"/>
      <c r="Y139" s="5"/>
    </row>
    <row r="140" spans="1:50" s="146" customFormat="1" ht="15">
      <c r="A140" s="215"/>
      <c r="B140" s="177" t="s">
        <v>151</v>
      </c>
      <c r="C140" s="124">
        <v>0</v>
      </c>
      <c r="D140" s="2">
        <v>0</v>
      </c>
      <c r="E140" s="2">
        <v>0</v>
      </c>
      <c r="F140" s="82">
        <f>IF(F5=datefin,SUM(D229:F229,C140)-SUM(D230:F230,D140:E140),SUM(D229:F229)-SUM(D230:F230,D140:E140))</f>
        <v>0</v>
      </c>
      <c r="G140" s="82">
        <f t="shared" ref="G140:T140" si="45">IF(G5=datefin,G229-G230+$C$140,G229-G230)</f>
        <v>0</v>
      </c>
      <c r="H140" s="82">
        <f t="shared" si="45"/>
        <v>0</v>
      </c>
      <c r="I140" s="82">
        <f t="shared" si="45"/>
        <v>0</v>
      </c>
      <c r="J140" s="82">
        <f t="shared" si="45"/>
        <v>0</v>
      </c>
      <c r="K140" s="82">
        <f t="shared" si="45"/>
        <v>0</v>
      </c>
      <c r="L140" s="82">
        <f t="shared" si="45"/>
        <v>0</v>
      </c>
      <c r="M140" s="82">
        <f t="shared" si="45"/>
        <v>0</v>
      </c>
      <c r="N140" s="82">
        <f t="shared" si="45"/>
        <v>0</v>
      </c>
      <c r="O140" s="82">
        <f t="shared" si="45"/>
        <v>0</v>
      </c>
      <c r="P140" s="82">
        <f t="shared" si="45"/>
        <v>0</v>
      </c>
      <c r="Q140" s="82">
        <f t="shared" si="45"/>
        <v>0</v>
      </c>
      <c r="R140" s="82">
        <f t="shared" si="45"/>
        <v>0</v>
      </c>
      <c r="S140" s="82">
        <f t="shared" si="45"/>
        <v>0</v>
      </c>
      <c r="T140" s="82">
        <f t="shared" si="45"/>
        <v>0</v>
      </c>
      <c r="U140"/>
      <c r="V140" s="10">
        <f>SUM(D140:T140)</f>
        <v>0</v>
      </c>
      <c r="W140" s="353">
        <v>721</v>
      </c>
      <c r="X140" s="147"/>
      <c r="Y140" s="147"/>
    </row>
    <row r="141" spans="1:50" s="4" customFormat="1" ht="15">
      <c r="A141" s="166" t="s">
        <v>8</v>
      </c>
      <c r="B141" s="123" t="s">
        <v>44</v>
      </c>
      <c r="C141" s="169" t="s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/>
      <c r="V141" s="10">
        <f>SUM(D141:T141)</f>
        <v>0</v>
      </c>
      <c r="W141" s="353"/>
      <c r="X141" s="5"/>
      <c r="Y141" s="5"/>
    </row>
    <row r="142" spans="1:50" s="4" customFormat="1" ht="15" customHeight="1">
      <c r="A142" s="15"/>
      <c r="B142" s="35"/>
      <c r="C142" s="36" t="s">
        <v>45</v>
      </c>
      <c r="D142" s="14">
        <f t="shared" ref="D142:I142" si="46">SUM(D136:D141)</f>
        <v>5</v>
      </c>
      <c r="E142" s="14">
        <f t="shared" si="46"/>
        <v>0</v>
      </c>
      <c r="F142" s="14">
        <f t="shared" si="46"/>
        <v>0</v>
      </c>
      <c r="G142" s="14">
        <f t="shared" si="46"/>
        <v>0</v>
      </c>
      <c r="H142" s="14">
        <f t="shared" si="46"/>
        <v>0</v>
      </c>
      <c r="I142" s="14">
        <f t="shared" si="46"/>
        <v>0</v>
      </c>
      <c r="J142" s="14">
        <f t="shared" ref="J142:P142" si="47">SUM(J136:J141)</f>
        <v>0</v>
      </c>
      <c r="K142" s="14">
        <f t="shared" si="47"/>
        <v>0</v>
      </c>
      <c r="L142" s="14">
        <f t="shared" si="47"/>
        <v>0</v>
      </c>
      <c r="M142" s="14">
        <f t="shared" si="47"/>
        <v>0</v>
      </c>
      <c r="N142" s="14">
        <f t="shared" si="47"/>
        <v>0</v>
      </c>
      <c r="O142" s="14">
        <f t="shared" si="47"/>
        <v>0</v>
      </c>
      <c r="P142" s="14">
        <f t="shared" si="47"/>
        <v>0</v>
      </c>
      <c r="Q142" s="14">
        <f>SUM(Q136:Q141)</f>
        <v>0</v>
      </c>
      <c r="R142" s="14">
        <f>SUM(R136:R141)</f>
        <v>0</v>
      </c>
      <c r="S142" s="14">
        <f>SUM(S136:S141)</f>
        <v>0</v>
      </c>
      <c r="T142" s="14">
        <f>SUM(T136:T141)</f>
        <v>0</v>
      </c>
      <c r="U142"/>
      <c r="V142" s="14">
        <f>SUM(V136:V141)</f>
        <v>5</v>
      </c>
      <c r="W142" s="353"/>
      <c r="X142" s="5"/>
      <c r="Y142" s="5"/>
    </row>
    <row r="143" spans="1:50" s="4" customFormat="1" ht="3" customHeight="1">
      <c r="A143" s="34"/>
      <c r="B143" s="35"/>
      <c r="C143" s="36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/>
      <c r="V143" s="14"/>
      <c r="W143" s="353"/>
      <c r="X143" s="5"/>
      <c r="Y143" s="5"/>
    </row>
    <row r="144" spans="1:50" s="23" customFormat="1" ht="15">
      <c r="A144" s="242"/>
      <c r="B144" s="243"/>
      <c r="C144" s="244" t="s">
        <v>46</v>
      </c>
      <c r="D144" s="245">
        <f t="shared" ref="D144:T144" si="48">SUM(D142,D135,D114,D100,D38,D18)</f>
        <v>4342</v>
      </c>
      <c r="E144" s="245">
        <f t="shared" si="48"/>
        <v>0</v>
      </c>
      <c r="F144" s="245">
        <f t="shared" si="48"/>
        <v>379</v>
      </c>
      <c r="G144" s="245">
        <f t="shared" si="48"/>
        <v>227</v>
      </c>
      <c r="H144" s="245">
        <f t="shared" si="48"/>
        <v>192</v>
      </c>
      <c r="I144" s="245">
        <f t="shared" si="48"/>
        <v>284</v>
      </c>
      <c r="J144" s="245">
        <f t="shared" si="48"/>
        <v>65</v>
      </c>
      <c r="K144" s="245">
        <f t="shared" si="48"/>
        <v>40</v>
      </c>
      <c r="L144" s="245">
        <f t="shared" si="48"/>
        <v>1772</v>
      </c>
      <c r="M144" s="245">
        <f t="shared" si="48"/>
        <v>44</v>
      </c>
      <c r="N144" s="245">
        <f t="shared" si="48"/>
        <v>41</v>
      </c>
      <c r="O144" s="245">
        <f t="shared" si="48"/>
        <v>40</v>
      </c>
      <c r="P144" s="245">
        <f t="shared" si="48"/>
        <v>40</v>
      </c>
      <c r="Q144" s="245">
        <f t="shared" si="48"/>
        <v>0</v>
      </c>
      <c r="R144" s="245">
        <f t="shared" si="48"/>
        <v>0</v>
      </c>
      <c r="S144" s="245">
        <f t="shared" si="48"/>
        <v>34</v>
      </c>
      <c r="T144" s="245">
        <f t="shared" si="48"/>
        <v>0</v>
      </c>
      <c r="U144"/>
      <c r="V144" s="245">
        <f>SUM(V142,V135,V114,V100,V38,V18)</f>
        <v>7500</v>
      </c>
      <c r="W144" s="358"/>
      <c r="X144" s="41"/>
      <c r="Y144" s="41"/>
    </row>
    <row r="145" spans="1:38" s="158" customFormat="1" ht="19.5" customHeight="1">
      <c r="A145" s="156" t="str">
        <f>données!$A$1</f>
        <v>PARC D'ACTIVITES ANGERS MARCE</v>
      </c>
      <c r="B145" s="180"/>
      <c r="C145" s="180"/>
      <c r="D145" s="181"/>
      <c r="E145" s="182"/>
      <c r="F145" s="183"/>
      <c r="G145" s="182"/>
      <c r="H145" s="161"/>
      <c r="I145" s="160"/>
      <c r="J145" s="156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/>
      <c r="V145" s="160"/>
      <c r="W145" s="356"/>
      <c r="X145" s="159"/>
      <c r="Y145" s="159"/>
    </row>
    <row r="146" spans="1:38" s="4" customFormat="1" ht="14.1" customHeight="1">
      <c r="A146" s="216" t="s">
        <v>1</v>
      </c>
      <c r="B146" s="217"/>
      <c r="C146" s="218"/>
      <c r="D146" s="219" t="str">
        <f t="shared" ref="D146:E148" si="49">D4</f>
        <v>Réalisé</v>
      </c>
      <c r="E146" s="246" t="str">
        <f t="shared" si="49"/>
        <v>Réalisé</v>
      </c>
      <c r="F146" s="246"/>
      <c r="G146" s="246" t="s">
        <v>1</v>
      </c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/>
      <c r="V146" s="219"/>
      <c r="W146" s="405" t="s">
        <v>177</v>
      </c>
      <c r="X146" s="5"/>
      <c r="Y146" s="5"/>
    </row>
    <row r="147" spans="1:38" s="4" customFormat="1" ht="14.1" customHeight="1">
      <c r="A147" s="234" t="s">
        <v>47</v>
      </c>
      <c r="B147" s="235"/>
      <c r="C147" s="236"/>
      <c r="D147" s="247" t="str">
        <f t="shared" si="49"/>
        <v>au 31/12</v>
      </c>
      <c r="E147" s="247" t="str">
        <f t="shared" si="49"/>
        <v>au</v>
      </c>
      <c r="F147" s="238">
        <f t="shared" ref="F147:T147" si="50">F5</f>
        <v>2012</v>
      </c>
      <c r="G147" s="238">
        <f t="shared" si="50"/>
        <v>2013</v>
      </c>
      <c r="H147" s="238">
        <f t="shared" si="50"/>
        <v>2014</v>
      </c>
      <c r="I147" s="238">
        <f t="shared" si="50"/>
        <v>2015</v>
      </c>
      <c r="J147" s="238">
        <f t="shared" si="50"/>
        <v>2016</v>
      </c>
      <c r="K147" s="238">
        <f t="shared" si="50"/>
        <v>2017</v>
      </c>
      <c r="L147" s="238">
        <f t="shared" si="50"/>
        <v>2018</v>
      </c>
      <c r="M147" s="238">
        <f t="shared" si="50"/>
        <v>2019</v>
      </c>
      <c r="N147" s="238">
        <f t="shared" si="50"/>
        <v>2020</v>
      </c>
      <c r="O147" s="238">
        <f t="shared" si="50"/>
        <v>2021</v>
      </c>
      <c r="P147" s="238">
        <f t="shared" si="50"/>
        <v>2022</v>
      </c>
      <c r="Q147" s="238">
        <f t="shared" si="50"/>
        <v>2023</v>
      </c>
      <c r="R147" s="238">
        <f t="shared" si="50"/>
        <v>2024</v>
      </c>
      <c r="S147" s="238">
        <f t="shared" si="50"/>
        <v>2025</v>
      </c>
      <c r="T147" s="238">
        <f t="shared" si="50"/>
        <v>2026</v>
      </c>
      <c r="U147"/>
      <c r="V147" s="239" t="s">
        <v>6</v>
      </c>
      <c r="W147" s="406"/>
      <c r="X147" s="5"/>
      <c r="Y147" s="5"/>
    </row>
    <row r="148" spans="1:38" s="4" customFormat="1" ht="14.1" customHeight="1">
      <c r="A148" s="229"/>
      <c r="B148" s="230"/>
      <c r="C148" s="240" t="str">
        <f>$C$6</f>
        <v>K€ HT</v>
      </c>
      <c r="D148" s="248">
        <f t="shared" si="49"/>
        <v>2011</v>
      </c>
      <c r="E148" s="241">
        <f t="shared" si="49"/>
        <v>39446</v>
      </c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/>
      <c r="V148" s="250"/>
      <c r="W148" s="407"/>
      <c r="X148" s="5"/>
      <c r="Y148" s="5"/>
    </row>
    <row r="149" spans="1:38" s="4" customFormat="1" ht="15" customHeight="1">
      <c r="A149" s="25" t="s">
        <v>48</v>
      </c>
      <c r="B149" s="26"/>
      <c r="C149" s="308" t="str">
        <f>IF(OR(AND(typetva1&gt;0,V157=0,V158&gt;0),AND(typetva2&gt;0,V166=0,V167&gt;0),AND(typetva3&gt;0,V175=0,V176&gt;0),AND(typetva4&gt;0,V184=0,V185&gt;0),AND(typetva5&gt;0,V193=0,V194&gt;0)),"ATTENTION : indiquer impérativement la surface cessible annuelle vendue","")</f>
        <v/>
      </c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/>
      <c r="V149" s="28"/>
      <c r="W149" s="352"/>
      <c r="Y149" s="5"/>
      <c r="AJ149" s="83"/>
      <c r="AK149" s="83"/>
      <c r="AL149" s="83"/>
    </row>
    <row r="150" spans="1:38" s="4" customFormat="1" ht="12.95" customHeight="1">
      <c r="A150" s="137" t="s">
        <v>258</v>
      </c>
      <c r="B150" s="31"/>
      <c r="C150" s="322">
        <v>0.19600000000000001</v>
      </c>
      <c r="D150" s="322" t="s">
        <v>238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/>
      <c r="V150" s="10"/>
      <c r="W150" s="353"/>
      <c r="Y150" s="5"/>
      <c r="AJ150" s="83"/>
      <c r="AK150" s="83"/>
      <c r="AL150" s="83"/>
    </row>
    <row r="151" spans="1:38" s="4" customFormat="1" ht="12.95" customHeight="1">
      <c r="A151" s="15"/>
      <c r="B151" s="125" t="s">
        <v>49</v>
      </c>
      <c r="C151" s="344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/>
      <c r="V151" s="10">
        <f t="shared" ref="V151:V157" si="51">SUM(D151:T151)</f>
        <v>0</v>
      </c>
      <c r="W151" s="353">
        <v>101</v>
      </c>
      <c r="AJ151" s="83"/>
      <c r="AK151" s="83"/>
      <c r="AL151" s="83"/>
    </row>
    <row r="152" spans="1:38" s="4" customFormat="1" ht="12.95" customHeight="1">
      <c r="A152" s="15"/>
      <c r="B152" s="125" t="s">
        <v>50</v>
      </c>
      <c r="C152" s="344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/>
      <c r="V152" s="10">
        <f t="shared" si="51"/>
        <v>0</v>
      </c>
      <c r="W152" s="353">
        <v>101</v>
      </c>
      <c r="AJ152" s="83"/>
      <c r="AK152" s="83"/>
      <c r="AL152" s="83"/>
    </row>
    <row r="153" spans="1:38" s="4" customFormat="1" ht="12.95" customHeight="1">
      <c r="A153" s="15"/>
      <c r="B153" s="125" t="s">
        <v>50</v>
      </c>
      <c r="C153" s="344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f>I157*C153/1000</f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/>
      <c r="V153" s="10">
        <f t="shared" si="51"/>
        <v>0</v>
      </c>
      <c r="W153" s="353">
        <v>101</v>
      </c>
      <c r="AJ153" s="83"/>
      <c r="AK153" s="83"/>
      <c r="AL153" s="83"/>
    </row>
    <row r="154" spans="1:38" s="4" customFormat="1" ht="12.95" customHeight="1">
      <c r="A154" s="15"/>
      <c r="B154" s="125" t="s">
        <v>50</v>
      </c>
      <c r="C154" s="344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f>M157*C154/1000</f>
        <v>0</v>
      </c>
      <c r="N154" s="2">
        <f>N157*C154/1000</f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/>
      <c r="V154" s="10">
        <f t="shared" si="51"/>
        <v>0</v>
      </c>
      <c r="W154" s="353">
        <v>101</v>
      </c>
      <c r="AJ154" s="83"/>
      <c r="AK154" s="83"/>
      <c r="AL154" s="83"/>
    </row>
    <row r="155" spans="1:38" s="4" customFormat="1" ht="12.95" customHeight="1">
      <c r="A155" s="15"/>
      <c r="B155" s="125" t="s">
        <v>51</v>
      </c>
      <c r="C155" s="344"/>
      <c r="D155" s="2">
        <v>0</v>
      </c>
      <c r="E155" s="2">
        <v>0</v>
      </c>
      <c r="F155" s="2">
        <v>0</v>
      </c>
      <c r="G155" s="2">
        <f t="shared" ref="G155:O155" si="52">G157*0.0185</f>
        <v>740</v>
      </c>
      <c r="H155" s="2">
        <f t="shared" si="52"/>
        <v>740</v>
      </c>
      <c r="I155" s="2">
        <f t="shared" si="52"/>
        <v>740</v>
      </c>
      <c r="J155" s="2">
        <f t="shared" si="52"/>
        <v>740</v>
      </c>
      <c r="K155" s="2">
        <f t="shared" si="52"/>
        <v>740</v>
      </c>
      <c r="L155" s="2">
        <f t="shared" si="52"/>
        <v>740</v>
      </c>
      <c r="M155" s="2">
        <f t="shared" si="52"/>
        <v>740</v>
      </c>
      <c r="N155" s="2">
        <f t="shared" si="52"/>
        <v>740</v>
      </c>
      <c r="O155" s="2">
        <f t="shared" si="52"/>
        <v>740</v>
      </c>
      <c r="P155" s="2">
        <v>740</v>
      </c>
      <c r="Q155" s="2">
        <v>0</v>
      </c>
      <c r="R155" s="2">
        <v>0</v>
      </c>
      <c r="S155" s="2">
        <v>0</v>
      </c>
      <c r="T155" s="2">
        <v>0</v>
      </c>
      <c r="U155"/>
      <c r="V155" s="10">
        <f t="shared" si="51"/>
        <v>7400</v>
      </c>
      <c r="W155" s="353">
        <v>101</v>
      </c>
      <c r="AJ155" s="83"/>
      <c r="AK155" s="83"/>
      <c r="AL155" s="83"/>
    </row>
    <row r="156" spans="1:38" s="402" customFormat="1" ht="12.95" customHeight="1">
      <c r="A156" s="396"/>
      <c r="B156" s="397" t="s">
        <v>242</v>
      </c>
      <c r="C156" s="398" t="s">
        <v>53</v>
      </c>
      <c r="D156" s="399">
        <v>0</v>
      </c>
      <c r="E156" s="399">
        <v>0</v>
      </c>
      <c r="F156" s="399">
        <v>0</v>
      </c>
      <c r="G156" s="399">
        <v>0</v>
      </c>
      <c r="H156" s="399">
        <v>0</v>
      </c>
      <c r="I156" s="399">
        <v>0</v>
      </c>
      <c r="J156" s="399">
        <v>0</v>
      </c>
      <c r="K156" s="399">
        <v>0</v>
      </c>
      <c r="L156" s="399">
        <v>0</v>
      </c>
      <c r="M156" s="399">
        <v>0</v>
      </c>
      <c r="N156" s="399">
        <v>0</v>
      </c>
      <c r="O156" s="399">
        <v>0</v>
      </c>
      <c r="P156" s="399">
        <v>0</v>
      </c>
      <c r="Q156" s="399">
        <v>0</v>
      </c>
      <c r="R156" s="399">
        <v>0</v>
      </c>
      <c r="S156" s="399">
        <v>0</v>
      </c>
      <c r="T156" s="399">
        <v>0</v>
      </c>
      <c r="U156" s="400"/>
      <c r="V156" s="401">
        <f>SUM(D156:T156)</f>
        <v>0</v>
      </c>
      <c r="W156" s="353"/>
      <c r="AJ156" s="403"/>
      <c r="AK156" s="403"/>
      <c r="AL156" s="403"/>
    </row>
    <row r="157" spans="1:38" s="173" customFormat="1" ht="12.95" customHeight="1">
      <c r="A157" s="170"/>
      <c r="B157" s="175" t="s">
        <v>52</v>
      </c>
      <c r="C157" s="176" t="s">
        <v>53</v>
      </c>
      <c r="D157" s="171">
        <v>0</v>
      </c>
      <c r="E157" s="171">
        <v>0</v>
      </c>
      <c r="F157" s="171">
        <v>0</v>
      </c>
      <c r="G157" s="171">
        <f t="shared" ref="G157:O157" si="53">400000/10</f>
        <v>40000</v>
      </c>
      <c r="H157" s="171">
        <f t="shared" si="53"/>
        <v>40000</v>
      </c>
      <c r="I157" s="171">
        <f t="shared" si="53"/>
        <v>40000</v>
      </c>
      <c r="J157" s="171">
        <f t="shared" si="53"/>
        <v>40000</v>
      </c>
      <c r="K157" s="171">
        <f t="shared" si="53"/>
        <v>40000</v>
      </c>
      <c r="L157" s="171">
        <f t="shared" si="53"/>
        <v>40000</v>
      </c>
      <c r="M157" s="171">
        <f t="shared" si="53"/>
        <v>40000</v>
      </c>
      <c r="N157" s="171">
        <f t="shared" si="53"/>
        <v>40000</v>
      </c>
      <c r="O157" s="171">
        <f t="shared" si="53"/>
        <v>40000</v>
      </c>
      <c r="P157" s="171">
        <v>40000</v>
      </c>
      <c r="Q157" s="171">
        <v>0</v>
      </c>
      <c r="R157" s="171">
        <v>0</v>
      </c>
      <c r="S157" s="171">
        <v>0</v>
      </c>
      <c r="T157" s="171">
        <v>0</v>
      </c>
      <c r="U157"/>
      <c r="V157" s="172">
        <f t="shared" si="51"/>
        <v>400000</v>
      </c>
      <c r="W157" s="353"/>
      <c r="AJ157" s="174"/>
      <c r="AK157" s="174"/>
      <c r="AL157" s="174"/>
    </row>
    <row r="158" spans="1:38" s="74" customFormat="1" ht="12.95" customHeight="1">
      <c r="A158" s="166" t="s">
        <v>8</v>
      </c>
      <c r="B158" s="84"/>
      <c r="C158" s="75" t="s">
        <v>18</v>
      </c>
      <c r="D158" s="73">
        <f t="shared" ref="D158:T158" si="54">SUM(D151:D155)</f>
        <v>0</v>
      </c>
      <c r="E158" s="73">
        <f t="shared" si="54"/>
        <v>0</v>
      </c>
      <c r="F158" s="73">
        <f t="shared" si="54"/>
        <v>0</v>
      </c>
      <c r="G158" s="73">
        <f t="shared" si="54"/>
        <v>740</v>
      </c>
      <c r="H158" s="73">
        <f t="shared" si="54"/>
        <v>740</v>
      </c>
      <c r="I158" s="73">
        <f t="shared" si="54"/>
        <v>740</v>
      </c>
      <c r="J158" s="73">
        <f t="shared" si="54"/>
        <v>740</v>
      </c>
      <c r="K158" s="73">
        <f t="shared" si="54"/>
        <v>740</v>
      </c>
      <c r="L158" s="73">
        <f t="shared" si="54"/>
        <v>740</v>
      </c>
      <c r="M158" s="73">
        <f t="shared" si="54"/>
        <v>740</v>
      </c>
      <c r="N158" s="73">
        <f t="shared" si="54"/>
        <v>740</v>
      </c>
      <c r="O158" s="73">
        <f t="shared" si="54"/>
        <v>740</v>
      </c>
      <c r="P158" s="73">
        <f t="shared" si="54"/>
        <v>740</v>
      </c>
      <c r="Q158" s="73">
        <f t="shared" si="54"/>
        <v>0</v>
      </c>
      <c r="R158" s="73">
        <f t="shared" si="54"/>
        <v>0</v>
      </c>
      <c r="S158" s="73">
        <f t="shared" si="54"/>
        <v>0</v>
      </c>
      <c r="T158" s="73">
        <f t="shared" si="54"/>
        <v>0</v>
      </c>
      <c r="U158"/>
      <c r="V158" s="73">
        <f>SUM(V151:V155)</f>
        <v>7400</v>
      </c>
      <c r="W158" s="354"/>
      <c r="AJ158" s="85"/>
      <c r="AK158" s="85"/>
      <c r="AL158" s="85"/>
    </row>
    <row r="159" spans="1:38" s="4" customFormat="1" ht="12.95" customHeight="1">
      <c r="A159" s="137" t="s">
        <v>54</v>
      </c>
      <c r="B159" s="31"/>
      <c r="C159" s="322">
        <v>5.5E-2</v>
      </c>
      <c r="D159" s="322" t="s">
        <v>238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/>
      <c r="V159" s="10"/>
      <c r="W159" s="353"/>
    </row>
    <row r="160" spans="1:38" s="4" customFormat="1" ht="12.95" customHeight="1">
      <c r="A160" s="11"/>
      <c r="B160" s="125" t="s">
        <v>49</v>
      </c>
      <c r="C160" s="344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/>
      <c r="V160" s="10">
        <f t="shared" ref="V160:V166" si="55">SUM(D160:T160)</f>
        <v>0</v>
      </c>
      <c r="W160" s="353">
        <v>103</v>
      </c>
    </row>
    <row r="161" spans="1:40" s="4" customFormat="1" ht="12.95" customHeight="1">
      <c r="A161" s="11"/>
      <c r="B161" s="125" t="s">
        <v>50</v>
      </c>
      <c r="C161" s="344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/>
      <c r="V161" s="10">
        <f t="shared" si="55"/>
        <v>0</v>
      </c>
      <c r="W161" s="353">
        <v>103</v>
      </c>
    </row>
    <row r="162" spans="1:40" s="4" customFormat="1" ht="12.95" customHeight="1">
      <c r="A162" s="11"/>
      <c r="B162" s="125" t="s">
        <v>50</v>
      </c>
      <c r="C162" s="344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/>
      <c r="V162" s="10">
        <f t="shared" si="55"/>
        <v>0</v>
      </c>
      <c r="W162" s="353">
        <v>103</v>
      </c>
    </row>
    <row r="163" spans="1:40" s="4" customFormat="1" ht="12.95" customHeight="1">
      <c r="A163" s="11"/>
      <c r="B163" s="125" t="s">
        <v>50</v>
      </c>
      <c r="C163" s="344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/>
      <c r="V163" s="10">
        <f t="shared" si="55"/>
        <v>0</v>
      </c>
      <c r="W163" s="353">
        <v>103</v>
      </c>
    </row>
    <row r="164" spans="1:40" s="4" customFormat="1" ht="12.95" customHeight="1">
      <c r="A164" s="11"/>
      <c r="B164" s="125" t="s">
        <v>51</v>
      </c>
      <c r="C164" s="344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/>
      <c r="V164" s="10">
        <f t="shared" si="55"/>
        <v>0</v>
      </c>
      <c r="W164" s="353">
        <v>103</v>
      </c>
      <c r="AJ164" s="83"/>
      <c r="AK164" s="83"/>
      <c r="AL164" s="83"/>
      <c r="AM164" s="83"/>
      <c r="AN164" s="83"/>
    </row>
    <row r="165" spans="1:40" s="402" customFormat="1" ht="12.95" customHeight="1">
      <c r="A165" s="396"/>
      <c r="B165" s="397" t="s">
        <v>242</v>
      </c>
      <c r="C165" s="398" t="s">
        <v>53</v>
      </c>
      <c r="D165" s="399">
        <v>0</v>
      </c>
      <c r="E165" s="399">
        <v>0</v>
      </c>
      <c r="F165" s="399">
        <v>0</v>
      </c>
      <c r="G165" s="399">
        <v>0</v>
      </c>
      <c r="H165" s="399">
        <v>0</v>
      </c>
      <c r="I165" s="399">
        <v>0</v>
      </c>
      <c r="J165" s="399">
        <v>0</v>
      </c>
      <c r="K165" s="399">
        <v>0</v>
      </c>
      <c r="L165" s="399">
        <v>0</v>
      </c>
      <c r="M165" s="399">
        <v>0</v>
      </c>
      <c r="N165" s="399">
        <v>0</v>
      </c>
      <c r="O165" s="399">
        <v>0</v>
      </c>
      <c r="P165" s="399">
        <v>0</v>
      </c>
      <c r="Q165" s="399">
        <v>0</v>
      </c>
      <c r="R165" s="399">
        <v>0</v>
      </c>
      <c r="S165" s="399">
        <v>0</v>
      </c>
      <c r="T165" s="399">
        <v>0</v>
      </c>
      <c r="U165" s="400"/>
      <c r="V165" s="401">
        <f t="shared" si="55"/>
        <v>0</v>
      </c>
      <c r="W165" s="353"/>
      <c r="AJ165" s="403"/>
      <c r="AK165" s="403"/>
      <c r="AL165" s="403"/>
    </row>
    <row r="166" spans="1:40" s="173" customFormat="1" ht="12.95" customHeight="1">
      <c r="A166" s="170"/>
      <c r="B166" s="175" t="s">
        <v>52</v>
      </c>
      <c r="C166" s="176" t="s">
        <v>53</v>
      </c>
      <c r="D166" s="171">
        <v>0</v>
      </c>
      <c r="E166" s="171">
        <v>0</v>
      </c>
      <c r="F166" s="171">
        <v>0</v>
      </c>
      <c r="G166" s="171">
        <v>0</v>
      </c>
      <c r="H166" s="171">
        <v>0</v>
      </c>
      <c r="I166" s="171">
        <v>0</v>
      </c>
      <c r="J166" s="171">
        <v>0</v>
      </c>
      <c r="K166" s="171">
        <v>0</v>
      </c>
      <c r="L166" s="171">
        <v>0</v>
      </c>
      <c r="M166" s="171">
        <v>0</v>
      </c>
      <c r="N166" s="171">
        <v>0</v>
      </c>
      <c r="O166" s="171">
        <v>0</v>
      </c>
      <c r="P166" s="171">
        <v>0</v>
      </c>
      <c r="Q166" s="171">
        <v>0</v>
      </c>
      <c r="R166" s="171">
        <v>0</v>
      </c>
      <c r="S166" s="171">
        <v>0</v>
      </c>
      <c r="T166" s="171">
        <v>0</v>
      </c>
      <c r="U166"/>
      <c r="V166" s="172">
        <f t="shared" si="55"/>
        <v>0</v>
      </c>
      <c r="W166" s="353"/>
      <c r="AJ166" s="174"/>
      <c r="AK166" s="174"/>
      <c r="AL166" s="174"/>
    </row>
    <row r="167" spans="1:40" s="4" customFormat="1" ht="12.95" customHeight="1">
      <c r="A167" s="166" t="s">
        <v>8</v>
      </c>
      <c r="B167" s="84"/>
      <c r="C167" s="75" t="s">
        <v>18</v>
      </c>
      <c r="D167" s="73">
        <f t="shared" ref="D167:I167" si="56">SUM(D160:D164)</f>
        <v>0</v>
      </c>
      <c r="E167" s="73">
        <f t="shared" si="56"/>
        <v>0</v>
      </c>
      <c r="F167" s="73">
        <f t="shared" si="56"/>
        <v>0</v>
      </c>
      <c r="G167" s="73">
        <f t="shared" si="56"/>
        <v>0</v>
      </c>
      <c r="H167" s="73">
        <f t="shared" si="56"/>
        <v>0</v>
      </c>
      <c r="I167" s="73">
        <f t="shared" si="56"/>
        <v>0</v>
      </c>
      <c r="J167" s="73">
        <f t="shared" ref="J167:P167" si="57">SUM(J160:J164)</f>
        <v>0</v>
      </c>
      <c r="K167" s="73">
        <f t="shared" si="57"/>
        <v>0</v>
      </c>
      <c r="L167" s="73">
        <f t="shared" si="57"/>
        <v>0</v>
      </c>
      <c r="M167" s="73">
        <f t="shared" si="57"/>
        <v>0</v>
      </c>
      <c r="N167" s="73">
        <f t="shared" si="57"/>
        <v>0</v>
      </c>
      <c r="O167" s="73">
        <f t="shared" si="57"/>
        <v>0</v>
      </c>
      <c r="P167" s="73">
        <f t="shared" si="57"/>
        <v>0</v>
      </c>
      <c r="Q167" s="73">
        <f>SUM(Q160:Q164)</f>
        <v>0</v>
      </c>
      <c r="R167" s="73">
        <f>SUM(R160:R164)</f>
        <v>0</v>
      </c>
      <c r="S167" s="73">
        <f>SUM(S160:S164)</f>
        <v>0</v>
      </c>
      <c r="T167" s="73">
        <f>SUM(T160:T164)</f>
        <v>0</v>
      </c>
      <c r="U167"/>
      <c r="V167" s="73">
        <f>SUM(V160:V164)</f>
        <v>0</v>
      </c>
      <c r="W167" s="354"/>
      <c r="AJ167" s="83"/>
      <c r="AK167" s="83"/>
      <c r="AL167" s="83"/>
      <c r="AM167" s="83"/>
      <c r="AN167" s="83"/>
    </row>
    <row r="168" spans="1:40" s="4" customFormat="1" ht="12.95" customHeight="1">
      <c r="A168" s="137" t="s">
        <v>214</v>
      </c>
      <c r="B168" s="31"/>
      <c r="C168" s="322">
        <v>0.19600000000000001</v>
      </c>
      <c r="D168" s="322" t="s">
        <v>238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/>
      <c r="V168" s="10"/>
      <c r="W168" s="353"/>
      <c r="AJ168" s="83"/>
      <c r="AK168" s="83"/>
      <c r="AL168" s="83"/>
      <c r="AM168" s="83"/>
      <c r="AN168" s="83"/>
    </row>
    <row r="169" spans="1:40" s="4" customFormat="1" ht="12.95" customHeight="1">
      <c r="A169" s="11"/>
      <c r="B169" s="125" t="s">
        <v>49</v>
      </c>
      <c r="C169" s="344">
        <v>0</v>
      </c>
      <c r="D169" s="2">
        <v>0</v>
      </c>
      <c r="E169" s="2">
        <v>0</v>
      </c>
      <c r="F169" s="2">
        <v>0</v>
      </c>
      <c r="G169" s="2">
        <f>G175*C169/1000</f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/>
      <c r="V169" s="10">
        <f t="shared" ref="V169:V175" si="58">SUM(D169:T169)</f>
        <v>0</v>
      </c>
      <c r="W169" s="353">
        <v>104</v>
      </c>
      <c r="AJ169" s="83"/>
      <c r="AK169" s="83"/>
      <c r="AL169" s="83"/>
      <c r="AM169" s="83"/>
      <c r="AN169" s="83"/>
    </row>
    <row r="170" spans="1:40" s="4" customFormat="1" ht="12.95" customHeight="1">
      <c r="A170" s="11"/>
      <c r="B170" s="125" t="s">
        <v>50</v>
      </c>
      <c r="C170" s="344">
        <v>0</v>
      </c>
      <c r="D170" s="2">
        <v>0</v>
      </c>
      <c r="E170" s="2">
        <v>0</v>
      </c>
      <c r="F170" s="2">
        <v>0</v>
      </c>
      <c r="G170" s="2">
        <v>0</v>
      </c>
      <c r="H170" s="2">
        <f>H175*C170/1000</f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/>
      <c r="V170" s="10">
        <f t="shared" si="58"/>
        <v>0</v>
      </c>
      <c r="W170" s="353">
        <v>104</v>
      </c>
      <c r="AJ170" s="83"/>
      <c r="AK170" s="83"/>
      <c r="AL170" s="83"/>
      <c r="AM170" s="83"/>
      <c r="AN170" s="83"/>
    </row>
    <row r="171" spans="1:40" s="4" customFormat="1" ht="12.95" customHeight="1">
      <c r="A171" s="11"/>
      <c r="B171" s="125" t="s">
        <v>50</v>
      </c>
      <c r="C171" s="344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f>L175*C171/1000</f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/>
      <c r="V171" s="10">
        <f t="shared" si="58"/>
        <v>0</v>
      </c>
      <c r="W171" s="353">
        <v>104</v>
      </c>
      <c r="AJ171" s="83"/>
      <c r="AK171" s="83"/>
      <c r="AL171" s="83"/>
      <c r="AM171" s="83"/>
      <c r="AN171" s="83"/>
    </row>
    <row r="172" spans="1:40" s="4" customFormat="1" ht="12.95" customHeight="1">
      <c r="A172" s="11"/>
      <c r="B172" s="125" t="s">
        <v>50</v>
      </c>
      <c r="C172" s="344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/>
      <c r="V172" s="10">
        <f t="shared" si="58"/>
        <v>0</v>
      </c>
      <c r="W172" s="353">
        <v>104</v>
      </c>
      <c r="AJ172" s="83"/>
      <c r="AK172" s="83"/>
      <c r="AL172" s="83"/>
      <c r="AM172" s="83"/>
      <c r="AN172" s="83"/>
    </row>
    <row r="173" spans="1:40" s="4" customFormat="1" ht="12.95" customHeight="1">
      <c r="A173" s="11"/>
      <c r="B173" s="125" t="s">
        <v>51</v>
      </c>
      <c r="C173" s="344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/>
      <c r="V173" s="10">
        <f t="shared" si="58"/>
        <v>0</v>
      </c>
      <c r="W173" s="353">
        <v>104</v>
      </c>
      <c r="AJ173" s="83"/>
      <c r="AK173" s="83"/>
      <c r="AL173" s="83"/>
      <c r="AM173" s="83"/>
      <c r="AN173" s="83"/>
    </row>
    <row r="174" spans="1:40" s="402" customFormat="1" ht="12.95" customHeight="1">
      <c r="A174" s="396"/>
      <c r="B174" s="397" t="s">
        <v>242</v>
      </c>
      <c r="C174" s="398" t="s">
        <v>53</v>
      </c>
      <c r="D174" s="399">
        <v>0</v>
      </c>
      <c r="E174" s="399">
        <v>0</v>
      </c>
      <c r="F174" s="399">
        <v>0</v>
      </c>
      <c r="G174" s="399">
        <v>0</v>
      </c>
      <c r="H174" s="399">
        <v>0</v>
      </c>
      <c r="I174" s="399">
        <v>0</v>
      </c>
      <c r="J174" s="399">
        <v>0</v>
      </c>
      <c r="K174" s="399">
        <v>0</v>
      </c>
      <c r="L174" s="399">
        <v>0</v>
      </c>
      <c r="M174" s="399">
        <v>0</v>
      </c>
      <c r="N174" s="399">
        <v>0</v>
      </c>
      <c r="O174" s="399">
        <v>0</v>
      </c>
      <c r="P174" s="399">
        <v>0</v>
      </c>
      <c r="Q174" s="399">
        <v>0</v>
      </c>
      <c r="R174" s="399">
        <v>0</v>
      </c>
      <c r="S174" s="399">
        <v>0</v>
      </c>
      <c r="T174" s="399">
        <v>0</v>
      </c>
      <c r="U174" s="400"/>
      <c r="V174" s="401">
        <f t="shared" si="58"/>
        <v>0</v>
      </c>
      <c r="W174" s="353"/>
      <c r="AJ174" s="403"/>
      <c r="AK174" s="403"/>
      <c r="AL174" s="403"/>
    </row>
    <row r="175" spans="1:40" s="173" customFormat="1" ht="12.95" customHeight="1">
      <c r="A175" s="170"/>
      <c r="B175" s="175" t="s">
        <v>52</v>
      </c>
      <c r="C175" s="176" t="s">
        <v>53</v>
      </c>
      <c r="D175" s="171">
        <v>0</v>
      </c>
      <c r="E175" s="171">
        <v>0</v>
      </c>
      <c r="F175" s="171">
        <v>0</v>
      </c>
      <c r="G175" s="171"/>
      <c r="H175" s="171"/>
      <c r="I175" s="171">
        <v>0</v>
      </c>
      <c r="J175" s="171">
        <v>0</v>
      </c>
      <c r="K175" s="171">
        <v>0</v>
      </c>
      <c r="L175" s="171"/>
      <c r="M175" s="171">
        <v>0</v>
      </c>
      <c r="N175" s="171">
        <v>0</v>
      </c>
      <c r="O175" s="171">
        <v>0</v>
      </c>
      <c r="P175" s="171">
        <v>0</v>
      </c>
      <c r="Q175" s="171">
        <v>0</v>
      </c>
      <c r="R175" s="171">
        <v>0</v>
      </c>
      <c r="S175" s="171">
        <v>0</v>
      </c>
      <c r="T175" s="171">
        <v>0</v>
      </c>
      <c r="U175"/>
      <c r="V175" s="172">
        <f t="shared" si="58"/>
        <v>0</v>
      </c>
      <c r="W175" s="353"/>
      <c r="AJ175" s="174"/>
      <c r="AK175" s="174"/>
      <c r="AL175" s="174"/>
    </row>
    <row r="176" spans="1:40" s="4" customFormat="1" ht="12.95" customHeight="1">
      <c r="A176" s="166" t="s">
        <v>8</v>
      </c>
      <c r="B176" s="84"/>
      <c r="C176" s="75" t="s">
        <v>18</v>
      </c>
      <c r="D176" s="73">
        <f t="shared" ref="D176:I176" si="59">SUM(D169:D173)</f>
        <v>0</v>
      </c>
      <c r="E176" s="73">
        <f t="shared" si="59"/>
        <v>0</v>
      </c>
      <c r="F176" s="73">
        <f t="shared" si="59"/>
        <v>0</v>
      </c>
      <c r="G176" s="73">
        <f t="shared" si="59"/>
        <v>0</v>
      </c>
      <c r="H176" s="73">
        <f t="shared" si="59"/>
        <v>0</v>
      </c>
      <c r="I176" s="73">
        <f t="shared" si="59"/>
        <v>0</v>
      </c>
      <c r="J176" s="73">
        <f t="shared" ref="J176:P176" si="60">SUM(J169:J173)</f>
        <v>0</v>
      </c>
      <c r="K176" s="73">
        <f t="shared" si="60"/>
        <v>0</v>
      </c>
      <c r="L176" s="73">
        <f t="shared" si="60"/>
        <v>0</v>
      </c>
      <c r="M176" s="73">
        <f t="shared" si="60"/>
        <v>0</v>
      </c>
      <c r="N176" s="73">
        <f t="shared" si="60"/>
        <v>0</v>
      </c>
      <c r="O176" s="73">
        <f t="shared" si="60"/>
        <v>0</v>
      </c>
      <c r="P176" s="73">
        <f t="shared" si="60"/>
        <v>0</v>
      </c>
      <c r="Q176" s="73">
        <f>SUM(Q169:Q173)</f>
        <v>0</v>
      </c>
      <c r="R176" s="73">
        <f>SUM(R169:R173)</f>
        <v>0</v>
      </c>
      <c r="S176" s="73">
        <f>SUM(S169:S173)</f>
        <v>0</v>
      </c>
      <c r="T176" s="73">
        <f>SUM(T169:T173)</f>
        <v>0</v>
      </c>
      <c r="U176"/>
      <c r="V176" s="73">
        <f>SUM(V169:V173)</f>
        <v>0</v>
      </c>
      <c r="W176" s="354"/>
    </row>
    <row r="177" spans="1:38" s="4" customFormat="1" ht="12.95" customHeight="1">
      <c r="A177" s="137" t="s">
        <v>55</v>
      </c>
      <c r="B177" s="31"/>
      <c r="C177" s="322" t="s">
        <v>56</v>
      </c>
      <c r="D177" s="322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/>
      <c r="V177" s="73"/>
      <c r="W177" s="354"/>
    </row>
    <row r="178" spans="1:38" s="4" customFormat="1" ht="12.95" customHeight="1">
      <c r="A178" s="11"/>
      <c r="B178" s="125" t="s">
        <v>49</v>
      </c>
      <c r="C178" s="344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/>
      <c r="V178" s="10">
        <f t="shared" ref="V178:V184" si="61">SUM(D178:T178)</f>
        <v>0</v>
      </c>
      <c r="W178" s="353">
        <v>105</v>
      </c>
    </row>
    <row r="179" spans="1:38" s="4" customFormat="1" ht="12.95" customHeight="1">
      <c r="A179" s="11"/>
      <c r="B179" s="125" t="s">
        <v>50</v>
      </c>
      <c r="C179" s="344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/>
      <c r="V179" s="10">
        <f t="shared" si="61"/>
        <v>0</v>
      </c>
      <c r="W179" s="353">
        <v>105</v>
      </c>
    </row>
    <row r="180" spans="1:38" s="4" customFormat="1" ht="12.95" customHeight="1">
      <c r="A180" s="11"/>
      <c r="B180" s="125" t="s">
        <v>50</v>
      </c>
      <c r="C180" s="344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/>
      <c r="V180" s="10">
        <f t="shared" si="61"/>
        <v>0</v>
      </c>
      <c r="W180" s="353">
        <v>105</v>
      </c>
    </row>
    <row r="181" spans="1:38" s="4" customFormat="1" ht="12.95" customHeight="1">
      <c r="A181" s="11"/>
      <c r="B181" s="125" t="s">
        <v>50</v>
      </c>
      <c r="C181" s="344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/>
      <c r="V181" s="10">
        <f t="shared" si="61"/>
        <v>0</v>
      </c>
      <c r="W181" s="353">
        <v>105</v>
      </c>
    </row>
    <row r="182" spans="1:38" s="4" customFormat="1" ht="12.95" customHeight="1">
      <c r="A182" s="11"/>
      <c r="B182" s="125" t="s">
        <v>51</v>
      </c>
      <c r="C182" s="344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/>
      <c r="V182" s="10">
        <f t="shared" si="61"/>
        <v>0</v>
      </c>
      <c r="W182" s="353">
        <v>105</v>
      </c>
    </row>
    <row r="183" spans="1:38" s="402" customFormat="1" ht="12.95" customHeight="1">
      <c r="A183" s="396"/>
      <c r="B183" s="397" t="s">
        <v>242</v>
      </c>
      <c r="C183" s="398" t="s">
        <v>53</v>
      </c>
      <c r="D183" s="399">
        <v>0</v>
      </c>
      <c r="E183" s="399">
        <v>0</v>
      </c>
      <c r="F183" s="399">
        <v>0</v>
      </c>
      <c r="G183" s="399">
        <v>0</v>
      </c>
      <c r="H183" s="399">
        <v>0</v>
      </c>
      <c r="I183" s="399">
        <v>0</v>
      </c>
      <c r="J183" s="399">
        <v>0</v>
      </c>
      <c r="K183" s="399">
        <v>0</v>
      </c>
      <c r="L183" s="399">
        <v>0</v>
      </c>
      <c r="M183" s="399">
        <v>0</v>
      </c>
      <c r="N183" s="399">
        <v>0</v>
      </c>
      <c r="O183" s="399">
        <v>0</v>
      </c>
      <c r="P183" s="399">
        <v>0</v>
      </c>
      <c r="Q183" s="399">
        <v>0</v>
      </c>
      <c r="R183" s="399">
        <v>0</v>
      </c>
      <c r="S183" s="399">
        <v>0</v>
      </c>
      <c r="T183" s="399">
        <v>0</v>
      </c>
      <c r="U183" s="400"/>
      <c r="V183" s="401">
        <f t="shared" si="61"/>
        <v>0</v>
      </c>
      <c r="W183" s="353"/>
      <c r="AJ183" s="403"/>
      <c r="AK183" s="403"/>
      <c r="AL183" s="403"/>
    </row>
    <row r="184" spans="1:38" s="173" customFormat="1" ht="12.95" customHeight="1">
      <c r="A184" s="170"/>
      <c r="B184" s="175" t="s">
        <v>52</v>
      </c>
      <c r="C184" s="176" t="s">
        <v>53</v>
      </c>
      <c r="D184" s="171">
        <v>0</v>
      </c>
      <c r="E184" s="171">
        <v>0</v>
      </c>
      <c r="F184" s="171">
        <v>0</v>
      </c>
      <c r="G184" s="171">
        <v>0</v>
      </c>
      <c r="H184" s="171">
        <v>0</v>
      </c>
      <c r="I184" s="171">
        <v>0</v>
      </c>
      <c r="J184" s="171">
        <v>0</v>
      </c>
      <c r="K184" s="171">
        <v>0</v>
      </c>
      <c r="L184" s="171">
        <v>0</v>
      </c>
      <c r="M184" s="171">
        <v>0</v>
      </c>
      <c r="N184" s="171">
        <v>0</v>
      </c>
      <c r="O184" s="171">
        <v>0</v>
      </c>
      <c r="P184" s="171">
        <v>0</v>
      </c>
      <c r="Q184" s="171">
        <v>0</v>
      </c>
      <c r="R184" s="171">
        <v>0</v>
      </c>
      <c r="S184" s="171">
        <v>0</v>
      </c>
      <c r="T184" s="171">
        <v>0</v>
      </c>
      <c r="U184"/>
      <c r="V184" s="172">
        <f t="shared" si="61"/>
        <v>0</v>
      </c>
      <c r="W184" s="353"/>
      <c r="AJ184" s="174"/>
      <c r="AK184" s="174"/>
      <c r="AL184" s="174"/>
    </row>
    <row r="185" spans="1:38" s="4" customFormat="1" ht="12.95" customHeight="1">
      <c r="A185" s="166" t="s">
        <v>8</v>
      </c>
      <c r="B185" s="84"/>
      <c r="C185" s="75" t="s">
        <v>18</v>
      </c>
      <c r="D185" s="73">
        <f t="shared" ref="D185:I185" si="62">SUM(D178:D182)</f>
        <v>0</v>
      </c>
      <c r="E185" s="73">
        <f t="shared" si="62"/>
        <v>0</v>
      </c>
      <c r="F185" s="73">
        <f t="shared" si="62"/>
        <v>0</v>
      </c>
      <c r="G185" s="73">
        <f t="shared" si="62"/>
        <v>0</v>
      </c>
      <c r="H185" s="73">
        <f t="shared" si="62"/>
        <v>0</v>
      </c>
      <c r="I185" s="73">
        <f t="shared" si="62"/>
        <v>0</v>
      </c>
      <c r="J185" s="73">
        <f t="shared" ref="J185:O185" si="63">SUM(J178:J182)</f>
        <v>0</v>
      </c>
      <c r="K185" s="73">
        <f t="shared" si="63"/>
        <v>0</v>
      </c>
      <c r="L185" s="73">
        <f t="shared" si="63"/>
        <v>0</v>
      </c>
      <c r="M185" s="73">
        <f t="shared" si="63"/>
        <v>0</v>
      </c>
      <c r="N185" s="73">
        <f t="shared" si="63"/>
        <v>0</v>
      </c>
      <c r="O185" s="73">
        <f t="shared" si="63"/>
        <v>0</v>
      </c>
      <c r="P185" s="73">
        <f>SUM(P178:P182)</f>
        <v>0</v>
      </c>
      <c r="Q185" s="73">
        <f>SUM(Q178:Q182)</f>
        <v>0</v>
      </c>
      <c r="R185" s="73">
        <f>SUM(R178:R182)</f>
        <v>0</v>
      </c>
      <c r="S185" s="73">
        <f>SUM(S178:S182)</f>
        <v>0</v>
      </c>
      <c r="T185" s="73">
        <f>SUM(T178:T182)</f>
        <v>0</v>
      </c>
      <c r="U185"/>
      <c r="V185" s="73">
        <f>SUM(V178:V182)</f>
        <v>0</v>
      </c>
      <c r="W185" s="354"/>
    </row>
    <row r="186" spans="1:38" s="4" customFormat="1" ht="12.95" customHeight="1">
      <c r="A186" s="137" t="s">
        <v>57</v>
      </c>
      <c r="B186" s="31"/>
      <c r="C186" s="322">
        <v>0.19600000000000001</v>
      </c>
      <c r="D186" s="322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/>
      <c r="V186" s="73"/>
      <c r="W186" s="354"/>
    </row>
    <row r="187" spans="1:38" s="4" customFormat="1" ht="12.95" customHeight="1">
      <c r="A187" s="11"/>
      <c r="B187" s="125" t="s">
        <v>49</v>
      </c>
      <c r="C187" s="344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/>
      <c r="V187" s="10">
        <f t="shared" ref="V187:V193" si="64">SUM(D187:T187)</f>
        <v>0</v>
      </c>
      <c r="W187" s="353">
        <v>107</v>
      </c>
    </row>
    <row r="188" spans="1:38" s="4" customFormat="1" ht="12.95" customHeight="1">
      <c r="A188" s="11"/>
      <c r="B188" s="125" t="s">
        <v>49</v>
      </c>
      <c r="C188" s="344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/>
      <c r="V188" s="10">
        <f t="shared" si="64"/>
        <v>0</v>
      </c>
      <c r="W188" s="353">
        <v>107</v>
      </c>
    </row>
    <row r="189" spans="1:38" s="4" customFormat="1" ht="12.95" customHeight="1">
      <c r="A189" s="11"/>
      <c r="B189" s="125" t="s">
        <v>49</v>
      </c>
      <c r="C189" s="344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/>
      <c r="V189" s="10">
        <f t="shared" si="64"/>
        <v>0</v>
      </c>
      <c r="W189" s="353">
        <v>107</v>
      </c>
    </row>
    <row r="190" spans="1:38" s="4" customFormat="1" ht="12.95" customHeight="1">
      <c r="A190" s="11"/>
      <c r="B190" s="125" t="s">
        <v>50</v>
      </c>
      <c r="C190" s="344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/>
      <c r="V190" s="10">
        <f t="shared" si="64"/>
        <v>0</v>
      </c>
      <c r="W190" s="353">
        <v>107</v>
      </c>
    </row>
    <row r="191" spans="1:38" s="4" customFormat="1" ht="12.95" customHeight="1">
      <c r="A191" s="11"/>
      <c r="B191" s="125" t="s">
        <v>51</v>
      </c>
      <c r="C191" s="344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/>
      <c r="V191" s="10">
        <f t="shared" si="64"/>
        <v>0</v>
      </c>
      <c r="W191" s="353">
        <v>107</v>
      </c>
    </row>
    <row r="192" spans="1:38" s="402" customFormat="1" ht="12.95" customHeight="1">
      <c r="A192" s="396"/>
      <c r="B192" s="397" t="s">
        <v>242</v>
      </c>
      <c r="C192" s="398" t="s">
        <v>53</v>
      </c>
      <c r="D192" s="399">
        <v>0</v>
      </c>
      <c r="E192" s="399">
        <v>0</v>
      </c>
      <c r="F192" s="399">
        <v>0</v>
      </c>
      <c r="G192" s="399">
        <v>0</v>
      </c>
      <c r="H192" s="399">
        <v>0</v>
      </c>
      <c r="I192" s="399">
        <v>0</v>
      </c>
      <c r="J192" s="399">
        <v>0</v>
      </c>
      <c r="K192" s="399">
        <v>0</v>
      </c>
      <c r="L192" s="399">
        <v>0</v>
      </c>
      <c r="M192" s="399">
        <v>0</v>
      </c>
      <c r="N192" s="399">
        <v>0</v>
      </c>
      <c r="O192" s="399">
        <v>0</v>
      </c>
      <c r="P192" s="399">
        <v>0</v>
      </c>
      <c r="Q192" s="399">
        <v>0</v>
      </c>
      <c r="R192" s="399">
        <v>0</v>
      </c>
      <c r="S192" s="399">
        <v>0</v>
      </c>
      <c r="T192" s="399">
        <v>0</v>
      </c>
      <c r="U192" s="400"/>
      <c r="V192" s="401">
        <f t="shared" si="64"/>
        <v>0</v>
      </c>
      <c r="W192" s="353"/>
      <c r="AJ192" s="403"/>
      <c r="AK192" s="403"/>
      <c r="AL192" s="403"/>
    </row>
    <row r="193" spans="1:38" s="173" customFormat="1" ht="12.95" customHeight="1">
      <c r="A193" s="170"/>
      <c r="B193" s="175" t="s">
        <v>52</v>
      </c>
      <c r="C193" s="176" t="s">
        <v>53</v>
      </c>
      <c r="D193" s="171">
        <v>0</v>
      </c>
      <c r="E193" s="171">
        <v>0</v>
      </c>
      <c r="F193" s="171">
        <v>0</v>
      </c>
      <c r="G193" s="171">
        <v>0</v>
      </c>
      <c r="H193" s="171">
        <v>0</v>
      </c>
      <c r="I193" s="171">
        <v>0</v>
      </c>
      <c r="J193" s="171">
        <v>0</v>
      </c>
      <c r="K193" s="171">
        <v>0</v>
      </c>
      <c r="L193" s="171">
        <v>0</v>
      </c>
      <c r="M193" s="171">
        <v>0</v>
      </c>
      <c r="N193" s="171">
        <v>0</v>
      </c>
      <c r="O193" s="171">
        <v>0</v>
      </c>
      <c r="P193" s="171">
        <v>0</v>
      </c>
      <c r="Q193" s="171">
        <v>0</v>
      </c>
      <c r="R193" s="171">
        <v>0</v>
      </c>
      <c r="S193" s="171">
        <v>0</v>
      </c>
      <c r="T193" s="171">
        <v>0</v>
      </c>
      <c r="U193"/>
      <c r="V193" s="172">
        <f t="shared" si="64"/>
        <v>0</v>
      </c>
      <c r="W193" s="353"/>
      <c r="AJ193" s="174"/>
      <c r="AK193" s="174"/>
      <c r="AL193" s="174"/>
    </row>
    <row r="194" spans="1:38" s="4" customFormat="1" ht="12.95" customHeight="1">
      <c r="A194" s="166" t="s">
        <v>8</v>
      </c>
      <c r="B194" s="84"/>
      <c r="C194" s="75" t="s">
        <v>18</v>
      </c>
      <c r="D194" s="73">
        <f t="shared" ref="D194:I194" si="65">SUM(D187:D191)</f>
        <v>0</v>
      </c>
      <c r="E194" s="73">
        <f t="shared" si="65"/>
        <v>0</v>
      </c>
      <c r="F194" s="73">
        <f t="shared" si="65"/>
        <v>0</v>
      </c>
      <c r="G194" s="73">
        <f t="shared" si="65"/>
        <v>0</v>
      </c>
      <c r="H194" s="73">
        <f t="shared" si="65"/>
        <v>0</v>
      </c>
      <c r="I194" s="73">
        <f t="shared" si="65"/>
        <v>0</v>
      </c>
      <c r="J194" s="73">
        <f t="shared" ref="J194:P194" si="66">SUM(J187:J191)</f>
        <v>0</v>
      </c>
      <c r="K194" s="73">
        <f t="shared" si="66"/>
        <v>0</v>
      </c>
      <c r="L194" s="73">
        <f t="shared" si="66"/>
        <v>0</v>
      </c>
      <c r="M194" s="73">
        <f t="shared" si="66"/>
        <v>0</v>
      </c>
      <c r="N194" s="73">
        <f t="shared" si="66"/>
        <v>0</v>
      </c>
      <c r="O194" s="73">
        <f t="shared" si="66"/>
        <v>0</v>
      </c>
      <c r="P194" s="73">
        <f t="shared" si="66"/>
        <v>0</v>
      </c>
      <c r="Q194" s="73">
        <f>SUM(Q187:Q191)</f>
        <v>0</v>
      </c>
      <c r="R194" s="73">
        <f>SUM(R187:R191)</f>
        <v>0</v>
      </c>
      <c r="S194" s="73">
        <f>SUM(S187:S191)</f>
        <v>0</v>
      </c>
      <c r="T194" s="73">
        <f>SUM(T187:T191)</f>
        <v>0</v>
      </c>
      <c r="U194"/>
      <c r="V194" s="73">
        <f>SUM(V187:V191)</f>
        <v>0</v>
      </c>
      <c r="W194" s="354"/>
    </row>
    <row r="195" spans="1:38" s="4" customFormat="1" ht="12.95" customHeight="1">
      <c r="A195" s="72" t="s">
        <v>239</v>
      </c>
      <c r="B195" s="12"/>
      <c r="C195" s="192"/>
      <c r="D195" s="142">
        <f>-D235</f>
        <v>0</v>
      </c>
      <c r="E195" s="142">
        <f t="shared" ref="E195:T195" si="67">-E235</f>
        <v>0</v>
      </c>
      <c r="F195" s="142">
        <f t="shared" si="67"/>
        <v>0</v>
      </c>
      <c r="G195" s="142">
        <f t="shared" si="67"/>
        <v>0</v>
      </c>
      <c r="H195" s="142">
        <f t="shared" si="67"/>
        <v>0</v>
      </c>
      <c r="I195" s="142">
        <f t="shared" si="67"/>
        <v>0</v>
      </c>
      <c r="J195" s="142">
        <f t="shared" si="67"/>
        <v>0</v>
      </c>
      <c r="K195" s="142">
        <f t="shared" si="67"/>
        <v>0</v>
      </c>
      <c r="L195" s="142">
        <f t="shared" si="67"/>
        <v>0</v>
      </c>
      <c r="M195" s="142">
        <f t="shared" si="67"/>
        <v>0</v>
      </c>
      <c r="N195" s="142">
        <f t="shared" si="67"/>
        <v>0</v>
      </c>
      <c r="O195" s="142">
        <f t="shared" si="67"/>
        <v>0</v>
      </c>
      <c r="P195" s="142">
        <f t="shared" si="67"/>
        <v>0</v>
      </c>
      <c r="Q195" s="142">
        <f t="shared" si="67"/>
        <v>0</v>
      </c>
      <c r="R195" s="142">
        <f t="shared" si="67"/>
        <v>0</v>
      </c>
      <c r="S195" s="142">
        <f t="shared" si="67"/>
        <v>0</v>
      </c>
      <c r="T195" s="142">
        <f t="shared" si="67"/>
        <v>0</v>
      </c>
      <c r="U195" s="339"/>
      <c r="V195" s="82">
        <f>SUM(D195:T195)</f>
        <v>0</v>
      </c>
      <c r="W195" s="357"/>
    </row>
    <row r="196" spans="1:38" s="4" customFormat="1" ht="12.95" customHeight="1">
      <c r="A196" s="15"/>
      <c r="B196" s="35"/>
      <c r="C196" s="36" t="s">
        <v>58</v>
      </c>
      <c r="D196" s="37">
        <f>SUM(D158,D167,D176,D185,D194,D195)</f>
        <v>0</v>
      </c>
      <c r="E196" s="37">
        <f t="shared" ref="E196:T196" si="68">SUM(E158,E167,E176,E185,E194,E195)</f>
        <v>0</v>
      </c>
      <c r="F196" s="37">
        <f t="shared" si="68"/>
        <v>0</v>
      </c>
      <c r="G196" s="37">
        <f t="shared" si="68"/>
        <v>740</v>
      </c>
      <c r="H196" s="37">
        <f t="shared" si="68"/>
        <v>740</v>
      </c>
      <c r="I196" s="37">
        <f t="shared" si="68"/>
        <v>740</v>
      </c>
      <c r="J196" s="37">
        <f t="shared" si="68"/>
        <v>740</v>
      </c>
      <c r="K196" s="37">
        <f t="shared" si="68"/>
        <v>740</v>
      </c>
      <c r="L196" s="37">
        <f t="shared" si="68"/>
        <v>740</v>
      </c>
      <c r="M196" s="37">
        <f t="shared" si="68"/>
        <v>740</v>
      </c>
      <c r="N196" s="37">
        <f t="shared" si="68"/>
        <v>740</v>
      </c>
      <c r="O196" s="37">
        <f t="shared" si="68"/>
        <v>740</v>
      </c>
      <c r="P196" s="37">
        <f t="shared" si="68"/>
        <v>740</v>
      </c>
      <c r="Q196" s="37">
        <f t="shared" si="68"/>
        <v>0</v>
      </c>
      <c r="R196" s="37">
        <f t="shared" si="68"/>
        <v>0</v>
      </c>
      <c r="S196" s="37">
        <f t="shared" si="68"/>
        <v>0</v>
      </c>
      <c r="T196" s="37">
        <f t="shared" si="68"/>
        <v>0</v>
      </c>
      <c r="U196"/>
      <c r="V196" s="37">
        <f>SUM(V158,V167,V176,V185,V194,V195)</f>
        <v>7400</v>
      </c>
      <c r="W196" s="353"/>
    </row>
    <row r="197" spans="1:38" s="4" customFormat="1" ht="12.95" customHeight="1">
      <c r="A197" s="140" t="s">
        <v>169</v>
      </c>
      <c r="B197" s="39"/>
      <c r="C197" s="350" t="s">
        <v>219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/>
      <c r="V197" s="10"/>
      <c r="W197" s="353"/>
    </row>
    <row r="198" spans="1:38" s="4" customFormat="1" ht="12.95" customHeight="1">
      <c r="A198" s="166" t="s">
        <v>10</v>
      </c>
      <c r="B198" s="123" t="s">
        <v>167</v>
      </c>
      <c r="C198" s="368"/>
      <c r="D198" s="2">
        <v>0</v>
      </c>
      <c r="E198" s="2">
        <v>0</v>
      </c>
      <c r="F198" s="2">
        <v>0</v>
      </c>
      <c r="G198" s="2">
        <v>100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/>
      <c r="V198" s="10">
        <f t="shared" ref="V198:V205" si="69">SUM(D198:T198)</f>
        <v>100</v>
      </c>
      <c r="W198" s="353">
        <v>302</v>
      </c>
    </row>
    <row r="199" spans="1:38" s="4" customFormat="1" ht="12.95" customHeight="1">
      <c r="A199" s="166" t="s">
        <v>10</v>
      </c>
      <c r="B199" s="123" t="s">
        <v>168</v>
      </c>
      <c r="C199" s="368"/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/>
      <c r="V199" s="10">
        <f t="shared" si="69"/>
        <v>0</v>
      </c>
      <c r="W199" s="353">
        <v>303</v>
      </c>
    </row>
    <row r="200" spans="1:38" s="4" customFormat="1" ht="12.95" customHeight="1">
      <c r="A200" s="166" t="s">
        <v>10</v>
      </c>
      <c r="B200" s="123" t="s">
        <v>142</v>
      </c>
      <c r="C200" s="368"/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/>
      <c r="V200" s="10">
        <f t="shared" si="69"/>
        <v>0</v>
      </c>
      <c r="W200" s="353">
        <v>304</v>
      </c>
    </row>
    <row r="201" spans="1:38" s="4" customFormat="1" ht="12.95" customHeight="1">
      <c r="A201" s="166" t="s">
        <v>10</v>
      </c>
      <c r="B201" s="123" t="s">
        <v>145</v>
      </c>
      <c r="C201" s="368"/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/>
      <c r="V201" s="10">
        <f t="shared" si="69"/>
        <v>0</v>
      </c>
      <c r="W201" s="353">
        <v>304</v>
      </c>
    </row>
    <row r="202" spans="1:38" s="4" customFormat="1" ht="12.95" customHeight="1">
      <c r="A202" s="166" t="s">
        <v>10</v>
      </c>
      <c r="B202" s="123" t="s">
        <v>59</v>
      </c>
      <c r="C202" s="368"/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/>
      <c r="V202" s="10">
        <f t="shared" si="69"/>
        <v>0</v>
      </c>
      <c r="W202" s="353">
        <v>302</v>
      </c>
    </row>
    <row r="203" spans="1:38" s="4" customFormat="1" ht="12.95" customHeight="1">
      <c r="A203" s="166" t="s">
        <v>10</v>
      </c>
      <c r="B203" s="123" t="s">
        <v>60</v>
      </c>
      <c r="C203" s="368"/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/>
      <c r="V203" s="10">
        <f t="shared" si="69"/>
        <v>0</v>
      </c>
      <c r="W203" s="353">
        <v>304</v>
      </c>
    </row>
    <row r="204" spans="1:38" s="4" customFormat="1" ht="12.95" customHeight="1">
      <c r="A204" s="166" t="s">
        <v>10</v>
      </c>
      <c r="B204" s="123" t="s">
        <v>61</v>
      </c>
      <c r="C204" s="368"/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/>
      <c r="V204" s="10">
        <f t="shared" si="69"/>
        <v>0</v>
      </c>
      <c r="W204" s="353">
        <v>301</v>
      </c>
    </row>
    <row r="205" spans="1:38" s="4" customFormat="1" ht="12.95" customHeight="1">
      <c r="A205" s="15"/>
      <c r="B205" s="13"/>
      <c r="C205" s="19" t="s">
        <v>62</v>
      </c>
      <c r="D205" s="14">
        <f t="shared" ref="D205:P205" si="70">SUM(D198:D204)</f>
        <v>0</v>
      </c>
      <c r="E205" s="14">
        <f t="shared" si="70"/>
        <v>0</v>
      </c>
      <c r="F205" s="14">
        <f t="shared" si="70"/>
        <v>0</v>
      </c>
      <c r="G205" s="14">
        <f t="shared" si="70"/>
        <v>100</v>
      </c>
      <c r="H205" s="14">
        <f t="shared" si="70"/>
        <v>0</v>
      </c>
      <c r="I205" s="14">
        <f t="shared" si="70"/>
        <v>0</v>
      </c>
      <c r="J205" s="14">
        <f t="shared" si="70"/>
        <v>0</v>
      </c>
      <c r="K205" s="14">
        <f t="shared" si="70"/>
        <v>0</v>
      </c>
      <c r="L205" s="14">
        <f t="shared" si="70"/>
        <v>0</v>
      </c>
      <c r="M205" s="14">
        <f t="shared" si="70"/>
        <v>0</v>
      </c>
      <c r="N205" s="14">
        <f t="shared" si="70"/>
        <v>0</v>
      </c>
      <c r="O205" s="14">
        <f t="shared" si="70"/>
        <v>0</v>
      </c>
      <c r="P205" s="14">
        <f t="shared" si="70"/>
        <v>0</v>
      </c>
      <c r="Q205" s="14">
        <f>SUM(Q198:Q204)</f>
        <v>0</v>
      </c>
      <c r="R205" s="14">
        <f>SUM(R198:R204)</f>
        <v>0</v>
      </c>
      <c r="S205" s="14">
        <f>SUM(S198:S204)</f>
        <v>0</v>
      </c>
      <c r="T205" s="14">
        <f>SUM(T198:T204)</f>
        <v>0</v>
      </c>
      <c r="U205"/>
      <c r="V205" s="14">
        <f t="shared" si="69"/>
        <v>100</v>
      </c>
      <c r="W205" s="353"/>
    </row>
    <row r="206" spans="1:38" s="4" customFormat="1" ht="12.95" customHeight="1">
      <c r="A206" s="38" t="s">
        <v>63</v>
      </c>
      <c r="B206" s="39"/>
      <c r="C206" s="4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/>
      <c r="V206" s="10"/>
      <c r="W206" s="353"/>
    </row>
    <row r="207" spans="1:38" s="4" customFormat="1" ht="12.95" customHeight="1">
      <c r="A207" s="166" t="s">
        <v>10</v>
      </c>
      <c r="B207" s="30" t="s">
        <v>222</v>
      </c>
      <c r="C207" s="376" t="s">
        <v>223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/>
      <c r="V207" s="82">
        <f>SUM(D207:T207)</f>
        <v>0</v>
      </c>
      <c r="W207" s="357">
        <v>401</v>
      </c>
    </row>
    <row r="208" spans="1:38" s="4" customFormat="1" ht="12.95" customHeight="1">
      <c r="A208" s="166" t="s">
        <v>10</v>
      </c>
      <c r="B208" s="123" t="s">
        <v>43</v>
      </c>
      <c r="C208" s="169" t="s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/>
      <c r="V208" s="82">
        <f>SUM(D208:T208)</f>
        <v>0</v>
      </c>
      <c r="W208" s="357">
        <v>421</v>
      </c>
    </row>
    <row r="209" spans="1:25" s="4" customFormat="1" ht="12.95" customHeight="1">
      <c r="A209" s="166" t="s">
        <v>10</v>
      </c>
      <c r="B209" s="123" t="s">
        <v>152</v>
      </c>
      <c r="C209" s="169" t="s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/>
      <c r="V209" s="82">
        <f>SUM(D209:T209)</f>
        <v>0</v>
      </c>
      <c r="W209" s="357">
        <v>413</v>
      </c>
    </row>
    <row r="210" spans="1:25" s="4" customFormat="1" ht="12.95" customHeight="1">
      <c r="A210" s="15"/>
      <c r="B210" s="35"/>
      <c r="C210" s="19" t="s">
        <v>64</v>
      </c>
      <c r="D210" s="14">
        <f t="shared" ref="D210:I210" si="71">SUM(D207:D209)</f>
        <v>0</v>
      </c>
      <c r="E210" s="14">
        <f t="shared" si="71"/>
        <v>0</v>
      </c>
      <c r="F210" s="14">
        <f t="shared" si="71"/>
        <v>0</v>
      </c>
      <c r="G210" s="14">
        <f t="shared" si="71"/>
        <v>0</v>
      </c>
      <c r="H210" s="14">
        <f t="shared" si="71"/>
        <v>0</v>
      </c>
      <c r="I210" s="14">
        <f t="shared" si="71"/>
        <v>0</v>
      </c>
      <c r="J210" s="14">
        <f t="shared" ref="J210:P210" si="72">SUM(J207:J209)</f>
        <v>0</v>
      </c>
      <c r="K210" s="14">
        <f t="shared" si="72"/>
        <v>0</v>
      </c>
      <c r="L210" s="14">
        <f t="shared" si="72"/>
        <v>0</v>
      </c>
      <c r="M210" s="14">
        <f t="shared" si="72"/>
        <v>0</v>
      </c>
      <c r="N210" s="14">
        <f t="shared" si="72"/>
        <v>0</v>
      </c>
      <c r="O210" s="14">
        <f t="shared" si="72"/>
        <v>0</v>
      </c>
      <c r="P210" s="14">
        <f t="shared" si="72"/>
        <v>0</v>
      </c>
      <c r="Q210" s="14">
        <f>SUM(Q207:Q209)</f>
        <v>0</v>
      </c>
      <c r="R210" s="14">
        <f>SUM(R207:R209)</f>
        <v>0</v>
      </c>
      <c r="S210" s="14">
        <f>SUM(S207:S209)</f>
        <v>0</v>
      </c>
      <c r="T210" s="14">
        <f>SUM(T207:T209)</f>
        <v>0</v>
      </c>
      <c r="U210"/>
      <c r="V210" s="14">
        <f>SUM(D210:T210)</f>
        <v>0</v>
      </c>
      <c r="W210" s="353"/>
    </row>
    <row r="211" spans="1:25" s="4" customFormat="1" ht="12.95" customHeight="1">
      <c r="A211" s="140" t="s">
        <v>144</v>
      </c>
      <c r="B211" s="39"/>
      <c r="C211" s="40"/>
      <c r="D211" s="350" t="s">
        <v>231</v>
      </c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/>
      <c r="V211" s="86"/>
      <c r="W211" s="359"/>
    </row>
    <row r="212" spans="1:25" s="4" customFormat="1" ht="12.95" customHeight="1">
      <c r="A212" s="166" t="s">
        <v>10</v>
      </c>
      <c r="B212" s="123" t="s">
        <v>186</v>
      </c>
      <c r="C212" s="169" t="s">
        <v>237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/>
      <c r="V212" s="82">
        <f>SUM(D212:T212)</f>
        <v>0</v>
      </c>
      <c r="W212" s="357">
        <v>502</v>
      </c>
    </row>
    <row r="213" spans="1:25" s="4" customFormat="1" ht="12.95" customHeight="1">
      <c r="A213" s="166" t="s">
        <v>10</v>
      </c>
      <c r="B213" s="123" t="s">
        <v>65</v>
      </c>
      <c r="C213" s="169" t="s">
        <v>237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/>
      <c r="V213" s="82">
        <f>SUM(D213:T213)</f>
        <v>0</v>
      </c>
      <c r="W213" s="357">
        <v>502</v>
      </c>
    </row>
    <row r="214" spans="1:25" s="4" customFormat="1" ht="12.95" customHeight="1">
      <c r="A214" s="166" t="s">
        <v>10</v>
      </c>
      <c r="B214" s="123" t="s">
        <v>185</v>
      </c>
      <c r="C214" s="169" t="s">
        <v>237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/>
      <c r="V214" s="82">
        <f>SUM(D214:T214)</f>
        <v>0</v>
      </c>
      <c r="W214" s="357" t="s">
        <v>213</v>
      </c>
    </row>
    <row r="215" spans="1:25" s="4" customFormat="1" ht="12.95" customHeight="1">
      <c r="A215" s="166" t="s">
        <v>10</v>
      </c>
      <c r="B215" s="123" t="s">
        <v>66</v>
      </c>
      <c r="C215" s="169" t="s">
        <v>237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/>
      <c r="V215" s="82">
        <f>SUM(D215:T215)</f>
        <v>0</v>
      </c>
      <c r="W215" s="357">
        <v>501</v>
      </c>
    </row>
    <row r="216" spans="1:25" s="90" customFormat="1" ht="12.95" customHeight="1">
      <c r="A216" s="88"/>
      <c r="B216" s="89"/>
      <c r="C216" s="19" t="s">
        <v>67</v>
      </c>
      <c r="D216" s="14">
        <f t="shared" ref="D216:P216" si="73">SUM(D212:D215)</f>
        <v>0</v>
      </c>
      <c r="E216" s="14">
        <f t="shared" si="73"/>
        <v>0</v>
      </c>
      <c r="F216" s="14">
        <f t="shared" si="73"/>
        <v>0</v>
      </c>
      <c r="G216" s="14">
        <f t="shared" si="73"/>
        <v>0</v>
      </c>
      <c r="H216" s="14">
        <f t="shared" si="73"/>
        <v>0</v>
      </c>
      <c r="I216" s="14">
        <f t="shared" si="73"/>
        <v>0</v>
      </c>
      <c r="J216" s="14">
        <f t="shared" si="73"/>
        <v>0</v>
      </c>
      <c r="K216" s="14">
        <f t="shared" si="73"/>
        <v>0</v>
      </c>
      <c r="L216" s="14">
        <f t="shared" si="73"/>
        <v>0</v>
      </c>
      <c r="M216" s="14">
        <f t="shared" si="73"/>
        <v>0</v>
      </c>
      <c r="N216" s="14">
        <f t="shared" si="73"/>
        <v>0</v>
      </c>
      <c r="O216" s="14">
        <f t="shared" si="73"/>
        <v>0</v>
      </c>
      <c r="P216" s="14">
        <f t="shared" si="73"/>
        <v>0</v>
      </c>
      <c r="Q216" s="14">
        <f>SUM(Q212:Q215)</f>
        <v>0</v>
      </c>
      <c r="R216" s="14">
        <f>SUM(R212:R215)</f>
        <v>0</v>
      </c>
      <c r="S216" s="14">
        <f>SUM(S212:S215)</f>
        <v>0</v>
      </c>
      <c r="T216" s="14">
        <f>SUM(T212:T215)</f>
        <v>0</v>
      </c>
      <c r="U216"/>
      <c r="V216" s="14">
        <f>SUM(V212:V215)</f>
        <v>0</v>
      </c>
      <c r="W216" s="353"/>
    </row>
    <row r="217" spans="1:25" s="12" customFormat="1" ht="3" customHeight="1">
      <c r="A217" s="38"/>
      <c r="B217" s="39"/>
      <c r="C217" s="4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/>
      <c r="V217" s="20"/>
      <c r="W217" s="353"/>
    </row>
    <row r="218" spans="1:25" s="23" customFormat="1" ht="15" customHeight="1">
      <c r="A218" s="251"/>
      <c r="B218" s="252"/>
      <c r="C218" s="253" t="s">
        <v>68</v>
      </c>
      <c r="D218" s="245">
        <f t="shared" ref="D218:T218" si="74">SUM(D196,D205,D210,D216)</f>
        <v>0</v>
      </c>
      <c r="E218" s="245">
        <f t="shared" si="74"/>
        <v>0</v>
      </c>
      <c r="F218" s="245">
        <f t="shared" si="74"/>
        <v>0</v>
      </c>
      <c r="G218" s="245">
        <f t="shared" si="74"/>
        <v>840</v>
      </c>
      <c r="H218" s="245">
        <f t="shared" si="74"/>
        <v>740</v>
      </c>
      <c r="I218" s="245">
        <f t="shared" si="74"/>
        <v>740</v>
      </c>
      <c r="J218" s="245">
        <f t="shared" si="74"/>
        <v>740</v>
      </c>
      <c r="K218" s="245">
        <f t="shared" si="74"/>
        <v>740</v>
      </c>
      <c r="L218" s="245">
        <f t="shared" si="74"/>
        <v>740</v>
      </c>
      <c r="M218" s="245">
        <f t="shared" si="74"/>
        <v>740</v>
      </c>
      <c r="N218" s="245">
        <f t="shared" si="74"/>
        <v>740</v>
      </c>
      <c r="O218" s="245">
        <f t="shared" si="74"/>
        <v>740</v>
      </c>
      <c r="P218" s="245">
        <f t="shared" si="74"/>
        <v>740</v>
      </c>
      <c r="Q218" s="245">
        <f t="shared" si="74"/>
        <v>0</v>
      </c>
      <c r="R218" s="245">
        <f t="shared" si="74"/>
        <v>0</v>
      </c>
      <c r="S218" s="245">
        <f t="shared" si="74"/>
        <v>0</v>
      </c>
      <c r="T218" s="245">
        <f t="shared" si="74"/>
        <v>0</v>
      </c>
      <c r="U218"/>
      <c r="V218" s="245">
        <f>SUM(D218:T218)</f>
        <v>7500</v>
      </c>
      <c r="W218" s="358"/>
    </row>
    <row r="219" spans="1:25" s="201" customFormat="1" ht="3" customHeight="1">
      <c r="A219" s="199"/>
      <c r="B219" s="199"/>
      <c r="C219" s="199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/>
      <c r="V219" s="200"/>
      <c r="W219" s="360"/>
    </row>
    <row r="220" spans="1:25" s="23" customFormat="1" ht="15" customHeight="1">
      <c r="A220" s="91"/>
      <c r="B220" s="57"/>
      <c r="C220" s="54" t="s">
        <v>69</v>
      </c>
      <c r="D220" s="92">
        <f t="shared" ref="D220:T220" si="75">D218-D144</f>
        <v>-4342</v>
      </c>
      <c r="E220" s="55">
        <f t="shared" si="75"/>
        <v>0</v>
      </c>
      <c r="F220" s="92">
        <f t="shared" si="75"/>
        <v>-379</v>
      </c>
      <c r="G220" s="92">
        <f t="shared" si="75"/>
        <v>613</v>
      </c>
      <c r="H220" s="92">
        <f t="shared" si="75"/>
        <v>548</v>
      </c>
      <c r="I220" s="92">
        <f t="shared" si="75"/>
        <v>456</v>
      </c>
      <c r="J220" s="92">
        <f t="shared" si="75"/>
        <v>675</v>
      </c>
      <c r="K220" s="92">
        <f t="shared" si="75"/>
        <v>700</v>
      </c>
      <c r="L220" s="92">
        <f t="shared" si="75"/>
        <v>-1032</v>
      </c>
      <c r="M220" s="92">
        <f t="shared" si="75"/>
        <v>696</v>
      </c>
      <c r="N220" s="92">
        <f t="shared" si="75"/>
        <v>699</v>
      </c>
      <c r="O220" s="92">
        <f t="shared" si="75"/>
        <v>700</v>
      </c>
      <c r="P220" s="92">
        <f t="shared" si="75"/>
        <v>700</v>
      </c>
      <c r="Q220" s="92">
        <f t="shared" si="75"/>
        <v>0</v>
      </c>
      <c r="R220" s="92">
        <f t="shared" si="75"/>
        <v>0</v>
      </c>
      <c r="S220" s="92">
        <f t="shared" si="75"/>
        <v>-34</v>
      </c>
      <c r="T220" s="92">
        <f t="shared" si="75"/>
        <v>0</v>
      </c>
      <c r="U220"/>
      <c r="V220" s="41"/>
      <c r="W220" s="361"/>
    </row>
    <row r="221" spans="1:25" s="23" customFormat="1" ht="3" customHeight="1">
      <c r="A221" s="93"/>
      <c r="B221" s="94"/>
      <c r="C221" s="94"/>
      <c r="D221" s="95"/>
      <c r="E221" s="95"/>
      <c r="F221" s="95"/>
      <c r="G221" s="95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/>
      <c r="V221" s="41"/>
      <c r="W221" s="361"/>
    </row>
    <row r="222" spans="1:25" s="23" customFormat="1" ht="15" customHeight="1">
      <c r="A222" s="96"/>
      <c r="B222" s="97"/>
      <c r="C222" s="98" t="s">
        <v>70</v>
      </c>
      <c r="D222" s="55">
        <f>D220</f>
        <v>-4342</v>
      </c>
      <c r="E222" s="55">
        <f t="shared" ref="E222:T222" si="76">D222+E220</f>
        <v>-4342</v>
      </c>
      <c r="F222" s="55">
        <f t="shared" si="76"/>
        <v>-4721</v>
      </c>
      <c r="G222" s="55">
        <f t="shared" si="76"/>
        <v>-4108</v>
      </c>
      <c r="H222" s="55">
        <f t="shared" si="76"/>
        <v>-3560</v>
      </c>
      <c r="I222" s="55">
        <f t="shared" si="76"/>
        <v>-3104</v>
      </c>
      <c r="J222" s="55">
        <f t="shared" si="76"/>
        <v>-2429</v>
      </c>
      <c r="K222" s="55">
        <f t="shared" si="76"/>
        <v>-1729</v>
      </c>
      <c r="L222" s="55">
        <f t="shared" si="76"/>
        <v>-2761</v>
      </c>
      <c r="M222" s="55">
        <f t="shared" si="76"/>
        <v>-2065</v>
      </c>
      <c r="N222" s="55">
        <f t="shared" si="76"/>
        <v>-1366</v>
      </c>
      <c r="O222" s="55">
        <f t="shared" si="76"/>
        <v>-666</v>
      </c>
      <c r="P222" s="55">
        <f t="shared" si="76"/>
        <v>34</v>
      </c>
      <c r="Q222" s="55">
        <f t="shared" si="76"/>
        <v>34</v>
      </c>
      <c r="R222" s="55">
        <f t="shared" si="76"/>
        <v>34</v>
      </c>
      <c r="S222" s="55">
        <f t="shared" si="76"/>
        <v>0</v>
      </c>
      <c r="T222" s="55">
        <f t="shared" si="76"/>
        <v>0</v>
      </c>
      <c r="U222"/>
      <c r="V222" s="41"/>
      <c r="W222" s="361"/>
    </row>
    <row r="223" spans="1:25" s="23" customFormat="1" ht="3" customHeight="1">
      <c r="A223" s="99"/>
      <c r="B223" s="99"/>
      <c r="C223" s="99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/>
      <c r="V223" s="6"/>
      <c r="W223" s="361"/>
    </row>
    <row r="224" spans="1:25" s="158" customFormat="1" ht="30" customHeight="1">
      <c r="A224" s="156" t="str">
        <f>données!$A$1</f>
        <v>PARC D'ACTIVITES ANGERS MARCE</v>
      </c>
      <c r="B224" s="180"/>
      <c r="C224" s="180"/>
      <c r="D224" s="181"/>
      <c r="E224" s="182"/>
      <c r="F224" s="183"/>
      <c r="G224" s="182"/>
      <c r="H224" s="161"/>
      <c r="I224" s="160"/>
      <c r="J224" s="156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/>
      <c r="V224" s="160"/>
      <c r="W224" s="362"/>
      <c r="X224" s="159"/>
      <c r="Y224" s="159"/>
    </row>
    <row r="225" spans="1:51" s="4" customFormat="1" ht="16.899999999999999" customHeight="1">
      <c r="A225" s="254" t="s">
        <v>1</v>
      </c>
      <c r="B225" s="255"/>
      <c r="C225" s="256"/>
      <c r="D225" s="219" t="s">
        <v>2</v>
      </c>
      <c r="E225" s="219" t="s">
        <v>2</v>
      </c>
      <c r="F225" s="221" t="s">
        <v>1</v>
      </c>
      <c r="G225" s="221" t="s">
        <v>1</v>
      </c>
      <c r="H225" s="221"/>
      <c r="I225" s="221"/>
      <c r="J225" s="221"/>
      <c r="K225" s="221"/>
      <c r="L225" s="221"/>
      <c r="M225" s="221"/>
      <c r="N225" s="221"/>
      <c r="O225" s="221"/>
      <c r="P225" s="221"/>
      <c r="Q225" s="221"/>
      <c r="R225" s="221"/>
      <c r="S225" s="221"/>
      <c r="T225" s="221"/>
      <c r="U225"/>
      <c r="V225" s="219"/>
      <c r="W225" s="405" t="s">
        <v>177</v>
      </c>
    </row>
    <row r="226" spans="1:51" s="4" customFormat="1" ht="16.899999999999999" customHeight="1">
      <c r="A226" s="257" t="s">
        <v>156</v>
      </c>
      <c r="B226" s="258"/>
      <c r="C226" s="259"/>
      <c r="D226" s="237" t="s">
        <v>4</v>
      </c>
      <c r="E226" s="237" t="s">
        <v>5</v>
      </c>
      <c r="F226" s="309">
        <f>F5</f>
        <v>2012</v>
      </c>
      <c r="G226" s="238">
        <f>F226+1</f>
        <v>2013</v>
      </c>
      <c r="H226" s="238">
        <f>G226+1</f>
        <v>2014</v>
      </c>
      <c r="I226" s="238">
        <f>H226+1</f>
        <v>2015</v>
      </c>
      <c r="J226" s="238">
        <f>I226+1</f>
        <v>2016</v>
      </c>
      <c r="K226" s="238">
        <f>J226+1</f>
        <v>2017</v>
      </c>
      <c r="L226" s="238">
        <f t="shared" ref="L226:T226" si="77">K226+1</f>
        <v>2018</v>
      </c>
      <c r="M226" s="238">
        <f t="shared" si="77"/>
        <v>2019</v>
      </c>
      <c r="N226" s="238">
        <f t="shared" si="77"/>
        <v>2020</v>
      </c>
      <c r="O226" s="238">
        <f t="shared" si="77"/>
        <v>2021</v>
      </c>
      <c r="P226" s="238">
        <f t="shared" si="77"/>
        <v>2022</v>
      </c>
      <c r="Q226" s="238">
        <f t="shared" si="77"/>
        <v>2023</v>
      </c>
      <c r="R226" s="238">
        <f t="shared" si="77"/>
        <v>2024</v>
      </c>
      <c r="S226" s="238">
        <f t="shared" si="77"/>
        <v>2025</v>
      </c>
      <c r="T226" s="238">
        <f t="shared" si="77"/>
        <v>2026</v>
      </c>
      <c r="U226"/>
      <c r="V226" s="239" t="s">
        <v>6</v>
      </c>
      <c r="W226" s="406"/>
    </row>
    <row r="227" spans="1:51" s="4" customFormat="1" ht="16.899999999999999" customHeight="1">
      <c r="A227" s="260"/>
      <c r="B227" s="261"/>
      <c r="C227" s="240" t="str">
        <f>$C$6</f>
        <v>K€ HT</v>
      </c>
      <c r="D227" s="232">
        <f>D6</f>
        <v>2011</v>
      </c>
      <c r="E227" s="346">
        <f>dateCRAC</f>
        <v>39446</v>
      </c>
      <c r="F227" s="233"/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  <c r="S227" s="233"/>
      <c r="T227" s="233"/>
      <c r="U227"/>
      <c r="V227" s="250"/>
      <c r="W227" s="407"/>
    </row>
    <row r="228" spans="1:51" s="4" customFormat="1" ht="17.100000000000001" customHeight="1">
      <c r="A228" s="340" t="s">
        <v>173</v>
      </c>
      <c r="B228" s="341"/>
      <c r="C228" s="377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/>
      <c r="V228" s="82"/>
      <c r="W228" s="352"/>
    </row>
    <row r="229" spans="1:51" ht="12.95" customHeight="1">
      <c r="A229" s="342" t="s">
        <v>174</v>
      </c>
      <c r="B229" s="343"/>
      <c r="C229" s="374"/>
      <c r="D229" s="349">
        <v>453</v>
      </c>
      <c r="E229" s="349">
        <v>0</v>
      </c>
      <c r="F229" s="316">
        <f>SUM(SUMIF($C$8:$C$141,"=tva",F8:F141),SUMIF($C$8:$C$141,"=tva",E8:E141))*tva-E229</f>
        <v>35</v>
      </c>
      <c r="G229" s="316">
        <f t="shared" ref="G229:T229" si="78">(SUMIF($C$8:$C$141,"=tva",G8:G141))*tva</f>
        <v>9</v>
      </c>
      <c r="H229" s="316">
        <f t="shared" si="78"/>
        <v>11</v>
      </c>
      <c r="I229" s="316">
        <f t="shared" si="78"/>
        <v>33</v>
      </c>
      <c r="J229" s="316">
        <f t="shared" si="78"/>
        <v>0</v>
      </c>
      <c r="K229" s="316">
        <f t="shared" si="78"/>
        <v>0</v>
      </c>
      <c r="L229" s="316">
        <f t="shared" si="78"/>
        <v>291</v>
      </c>
      <c r="M229" s="316">
        <f t="shared" si="78"/>
        <v>0</v>
      </c>
      <c r="N229" s="316">
        <f t="shared" si="78"/>
        <v>0</v>
      </c>
      <c r="O229" s="316">
        <f t="shared" si="78"/>
        <v>0</v>
      </c>
      <c r="P229" s="316">
        <f t="shared" si="78"/>
        <v>0</v>
      </c>
      <c r="Q229" s="316">
        <f t="shared" si="78"/>
        <v>0</v>
      </c>
      <c r="R229" s="316">
        <f t="shared" si="78"/>
        <v>0</v>
      </c>
      <c r="S229" s="316">
        <f t="shared" si="78"/>
        <v>0</v>
      </c>
      <c r="T229" s="316">
        <f t="shared" si="78"/>
        <v>0</v>
      </c>
      <c r="U229" s="315"/>
      <c r="V229" s="317">
        <f>SUM(D229:T229)</f>
        <v>832</v>
      </c>
      <c r="W229" s="353"/>
      <c r="X229" s="318"/>
      <c r="Y229" s="318"/>
      <c r="Z229" s="318"/>
      <c r="AA229" s="318"/>
      <c r="AB229" s="318"/>
      <c r="AC229" s="318"/>
      <c r="AD229" s="318"/>
      <c r="AE229" s="318"/>
      <c r="AF229" s="318"/>
      <c r="AG229" s="318"/>
      <c r="AH229" s="318"/>
      <c r="AI229" s="318"/>
      <c r="AJ229" s="318"/>
      <c r="AK229" s="318"/>
      <c r="AL229" s="318"/>
      <c r="AM229" s="318"/>
      <c r="AN229" s="318"/>
      <c r="AO229" s="318"/>
      <c r="AP229" s="318"/>
      <c r="AQ229" s="318"/>
      <c r="AR229" s="318"/>
      <c r="AS229" s="318"/>
      <c r="AT229" s="318"/>
      <c r="AU229" s="318"/>
      <c r="AV229" s="318"/>
      <c r="AW229" s="318"/>
      <c r="AX229" s="318"/>
      <c r="AY229" s="318"/>
    </row>
    <row r="230" spans="1:51" s="4" customFormat="1" ht="12.95" customHeight="1">
      <c r="A230" s="47"/>
      <c r="B230" s="12" t="s">
        <v>176</v>
      </c>
      <c r="C230" s="375"/>
      <c r="D230" s="2">
        <v>453</v>
      </c>
      <c r="E230" s="2">
        <v>0</v>
      </c>
      <c r="F230" s="82">
        <f>SUM(E229,F229)*IF(SUM(E196,F196,E208,F209,E209,F209,SUMIF($C$212:$C$215,"=tva",E212:E215),SUMIF($C$212:$C$215,"=tva",F212:F215),SUMIF($C$212:$C$215,"=droits",E212:E215),SUMIF($C$212:$C$215,"=droits",F212:F215))=0,1,SUM(IF(_tva1="droits",0,SUM(E158:F158)),IF(_tva2="droits",0,SUM(E167:F167)),IF(_tva3="droits",0,SUM(E176:F176)),IF(_tva4="droits",0,SUM(E185:F185)),IF(_tva5="droits",0,SUM(E194:F194)),E208:E209,F208:F209,SUMIF($C$212:$C$215,"=tva",E212:E215),SUMIF($C$212:$C$215,"=tva",F212:F215))/SUM(E158:F158,E167:F167,E176:F176,E185:F185,E194:F194,E208,F208,E209,F209,SUMIF($C$212:$C$215,"=tva",E212:E215),SUMIF($C$212:$C$215,"=tva",F212:F215),SUMIF($C$212:$C$215,"=droits",E212:E215),SUMIF($C$212:$C$215,"=droits",F212:F215)))-E230</f>
        <v>35</v>
      </c>
      <c r="G230" s="82">
        <f t="shared" ref="G230:T230" si="79">G229*IF(SUM(G196,G208:G209,SUMIF($C$212:$C$215,"=tva",G212:G215),SUMIF($C$212:$C$215,"=droits",G212:G215))=0,1,SUM(IF(_tva1="droits",0,G158),IF(_tva2="droits",0,G167),IF(_tva3="droits",0,G176),IF(_tva4="droits",0,G185),IF(_tva5="droits",0,G194),SUMIF($C$208:$C$215,"=tva",G208:G215))/SUM(G158,G167,G176,G185,G194,G208:G209,SUMIF($C$212:$C$215,"=tva",G212:G215),SUMIF($C$212:$C$215,"=droits",G212:G215)))</f>
        <v>9</v>
      </c>
      <c r="H230" s="82">
        <f t="shared" si="79"/>
        <v>11</v>
      </c>
      <c r="I230" s="82">
        <f t="shared" si="79"/>
        <v>33</v>
      </c>
      <c r="J230" s="82">
        <f t="shared" si="79"/>
        <v>0</v>
      </c>
      <c r="K230" s="82">
        <f t="shared" si="79"/>
        <v>0</v>
      </c>
      <c r="L230" s="82">
        <f t="shared" si="79"/>
        <v>291</v>
      </c>
      <c r="M230" s="82">
        <f t="shared" si="79"/>
        <v>0</v>
      </c>
      <c r="N230" s="82">
        <f t="shared" si="79"/>
        <v>0</v>
      </c>
      <c r="O230" s="82">
        <f t="shared" si="79"/>
        <v>0</v>
      </c>
      <c r="P230" s="82">
        <f t="shared" si="79"/>
        <v>0</v>
      </c>
      <c r="Q230" s="82">
        <f t="shared" si="79"/>
        <v>0</v>
      </c>
      <c r="R230" s="82">
        <f t="shared" si="79"/>
        <v>0</v>
      </c>
      <c r="S230" s="82">
        <f t="shared" si="79"/>
        <v>0</v>
      </c>
      <c r="T230" s="82">
        <f t="shared" si="79"/>
        <v>0</v>
      </c>
      <c r="U230"/>
      <c r="V230" s="10">
        <f>SUM(D230:T230)</f>
        <v>832</v>
      </c>
      <c r="W230" s="353"/>
    </row>
    <row r="231" spans="1:51" s="4" customFormat="1" ht="12.95" customHeight="1">
      <c r="A231" s="104"/>
      <c r="B231" s="71"/>
      <c r="C231" s="75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/>
      <c r="V231" s="73"/>
      <c r="W231" s="353"/>
    </row>
    <row r="232" spans="1:51" s="4" customFormat="1" ht="12.95" customHeight="1">
      <c r="A232" s="72" t="s">
        <v>175</v>
      </c>
      <c r="B232" s="71"/>
      <c r="C232" s="378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/>
      <c r="V232" s="82"/>
      <c r="W232" s="353"/>
    </row>
    <row r="233" spans="1:51" s="4" customFormat="1" ht="12.95" customHeight="1">
      <c r="A233" s="15"/>
      <c r="B233" s="30" t="s">
        <v>220</v>
      </c>
      <c r="C233" s="321"/>
      <c r="D233" s="2">
        <v>0</v>
      </c>
      <c r="E233" s="2">
        <v>0</v>
      </c>
      <c r="F233" s="82">
        <f>SUM(IF(OR(_tva1="droits",typetva1="marge HT",typetva1="marge TTC"),0,SUM(E158:F158)*_tva1),IF(OR(_tva2="droits",typetva2="marge HT",typetva2="marge TTC"),0,SUM(E167:F167)*_tva2),IF(OR(_tva3="droits",typetva3="marge HT",typetva3="marge TTC"),0,SUM(E176:F176)*_tva3),IF(OR(_tva4="droits",typetva4="marge HT",typetva4="marge TTC"),0,SUM(E185:F185)*_tva4),IF(OR(_tva5="droits",typetva5="marge HT",typetva5="marge TTC"),0,SUM(E194:F194)*_tva5),SUMIF($C$207:$C$215,"=tva",F207:F215)*tva,SUMIF($C$207:$C$215,"=tva",E207:E215)*tva)-E233</f>
        <v>0</v>
      </c>
      <c r="G233" s="82">
        <f t="shared" ref="G233:T233" si="80">SUM(IF(OR(_tva1="droits",typetva1="marge HT",typetva1="marge TTC"),0,G158*_tva1),IF(OR(_tva2="droits",typetva2="marge HT",typetva2="marge TTC"),0,G167*_tva2),IF(OR(_tva3="droits",typetva3="marge HT",typetva3="marge TTC"),0,G176*_tva3),IF(OR(_tva4="droits",typetva4="marge HT",typetva4="marge TTC"),0,G185*_tva4),IF(OR(_tva5="droits",typetva5="marge HT",typetva5="marge TTC"),0,G194*_tva5),SUMIF($C$207:$C$215,"=tva",G207:G215)*tva)</f>
        <v>0</v>
      </c>
      <c r="H233" s="82">
        <f t="shared" si="80"/>
        <v>0</v>
      </c>
      <c r="I233" s="82">
        <f t="shared" si="80"/>
        <v>0</v>
      </c>
      <c r="J233" s="82">
        <f t="shared" si="80"/>
        <v>0</v>
      </c>
      <c r="K233" s="82">
        <f t="shared" si="80"/>
        <v>0</v>
      </c>
      <c r="L233" s="82">
        <f t="shared" si="80"/>
        <v>0</v>
      </c>
      <c r="M233" s="82">
        <f t="shared" si="80"/>
        <v>0</v>
      </c>
      <c r="N233" s="82">
        <f t="shared" si="80"/>
        <v>0</v>
      </c>
      <c r="O233" s="82">
        <f t="shared" si="80"/>
        <v>0</v>
      </c>
      <c r="P233" s="82">
        <f t="shared" si="80"/>
        <v>0</v>
      </c>
      <c r="Q233" s="82">
        <f t="shared" si="80"/>
        <v>0</v>
      </c>
      <c r="R233" s="82">
        <f t="shared" si="80"/>
        <v>0</v>
      </c>
      <c r="S233" s="82">
        <f t="shared" si="80"/>
        <v>0</v>
      </c>
      <c r="T233" s="82">
        <f t="shared" si="80"/>
        <v>0</v>
      </c>
      <c r="U233"/>
      <c r="V233" s="10">
        <f>SUM(D233:T233)</f>
        <v>0</v>
      </c>
      <c r="W233" s="353"/>
      <c r="X233" s="5"/>
      <c r="Y233" s="5"/>
    </row>
    <row r="234" spans="1:51" s="4" customFormat="1" ht="12.95" customHeight="1">
      <c r="A234" s="15"/>
      <c r="B234" s="12" t="s">
        <v>240</v>
      </c>
      <c r="C234" s="321"/>
      <c r="D234" s="2">
        <v>0</v>
      </c>
      <c r="E234" s="2">
        <v>0</v>
      </c>
      <c r="F234" s="10">
        <f>SUM(IF(typetva1="marge HT",IF(SUM($E$158:$F$158)&lt;prixA*SUM($E$157:$F$157)/1000,0,(SUM($E$158:$F$158)-prixA*($E$157:$F$157)/1000)*_tva1),0),IF(typetva2="marge HT",IF(SUM($E$167:$F$167)&lt;prixA*SUM($E$166:$F$166)/1000,0,(SUM($E$167:$F$167)-prixA*SUM($E$166:$F$166)/1000)*_tva2),0),IF(typetva3="marge HT",IF(SUM($E$176:$F$176)&lt;prixA*SUM($E$175:$F$175)/1000,0,(SUM($E$176:$F$176)-prixA*SUM($E$175:$F$175)/1000)*_tva3),0),IF(typetva4="marge HT",IF(SUM($E$185:$F$185)&lt;prixA*SUM($E$184:$F$184)/1000,0,(SUM($E$185:$F$185)-prixA*SUM($E$184:$F$184)/1000)*_tva4),0),IF(typetva5="marge HT",IF(SUM($E$194:$F$194)&lt;prixA*SUM($E$193:$F$193)/1000,0,(SUM($E$194:$F$194)-prixA*SUM($E$193:$F$193)/1000)*_tva5),0))-E234</f>
        <v>0</v>
      </c>
      <c r="G234" s="10">
        <f t="shared" ref="G234:T234" si="81">SUM(IF(typetva1="marge HT",IF(G158&lt;prixA*G157/1000,0,(G158-prixA*G157/1000)*_tva1),0),IF(typetva2="marge HT",IF(G167&lt;prixA*G166/1000,0,(G167-prixA*G166/1000)*_tva2),0),IF(typetva3="marge HT",IF(G176&lt;prixA*G175/1000,0,(G176-prixA*G175/1000)*_tva3),0),IF(typetva4="marge HT",IF(G185&lt;prixA*G184/1000,0,(G185-prixA*G184/1000)*_tva4),0),IF(typetva5="marge HT",IF(G194&lt;prixA*G193/1000,0,(G194-prixA*G193/1000)*_tva5),0))</f>
        <v>135</v>
      </c>
      <c r="H234" s="10">
        <f t="shared" si="81"/>
        <v>135</v>
      </c>
      <c r="I234" s="10">
        <f t="shared" si="81"/>
        <v>135</v>
      </c>
      <c r="J234" s="10">
        <f t="shared" si="81"/>
        <v>135</v>
      </c>
      <c r="K234" s="10">
        <f t="shared" si="81"/>
        <v>135</v>
      </c>
      <c r="L234" s="10">
        <f t="shared" si="81"/>
        <v>135</v>
      </c>
      <c r="M234" s="10">
        <f t="shared" si="81"/>
        <v>135</v>
      </c>
      <c r="N234" s="10">
        <f t="shared" si="81"/>
        <v>135</v>
      </c>
      <c r="O234" s="10">
        <f t="shared" si="81"/>
        <v>135</v>
      </c>
      <c r="P234" s="10">
        <f t="shared" si="81"/>
        <v>135</v>
      </c>
      <c r="Q234" s="10">
        <f t="shared" si="81"/>
        <v>0</v>
      </c>
      <c r="R234" s="10">
        <f t="shared" si="81"/>
        <v>0</v>
      </c>
      <c r="S234" s="10">
        <f t="shared" si="81"/>
        <v>0</v>
      </c>
      <c r="T234" s="10">
        <f t="shared" si="81"/>
        <v>0</v>
      </c>
      <c r="U234"/>
      <c r="V234" s="10">
        <f>SUM(D234:T234)</f>
        <v>1350</v>
      </c>
      <c r="W234" s="353"/>
      <c r="X234" s="5"/>
      <c r="Y234" s="5"/>
    </row>
    <row r="235" spans="1:51" s="4" customFormat="1" ht="12.95" customHeight="1">
      <c r="A235" s="15"/>
      <c r="B235" s="12" t="s">
        <v>241</v>
      </c>
      <c r="C235" s="321"/>
      <c r="D235" s="2">
        <v>0</v>
      </c>
      <c r="E235" s="2">
        <v>0</v>
      </c>
      <c r="F235" s="10">
        <f>SUM(IF(typetva1="marge TTC",IF(SUM($E$158:$F$158)&lt;prixA*SUM($E$157:$F$157)/1000,0,(SUM($E$158:$F$158)-prixA*($E$157:$F$157)/1000)*_tva1/(1+_tva1)),0),IF(typetva2="marge TTC",IF(SUM($E$167:$F$167)&lt;prixA*SUM($E$166:$F$166)/1000,0,(SUM($E$167:$F$167)-prixA*SUM($E$166:$F$166)/1000)*_tva2/(1+_tva2)),0),IF(typetva3="marge TTC",IF(SUM($E$176:$F$176)&lt;prixA*SUM($E$175:$F$175)/1000,0,(SUM($E$176:$F$176)-prixA*SUM($E$175:$F$175)/1000)*_tva3/(1+_tva3)),0),IF(typetva4="marge TTC",IF(SUM($E$185:$F$185)&lt;prixA*SUM($E$184:$F$184)/1000,0,(SUM($E$185:$F$185)-prixA*SUM($E$184:$F$184)/1000)*_tva4/(1+_tva4)),0),IF(typetva5="marge TTC",IF(SUM($E$194:$F$194)&lt;prixA*SUM($E$193:$F$193)/1000,0,(SUM($E$194:$F$194)-prixA*SUM($E$193:$F$193)/1000)*_tva5/(1+_tva5)),0))-E235</f>
        <v>0</v>
      </c>
      <c r="G235" s="10">
        <f t="shared" ref="G235:T235" si="82">SUM(IF(typetva1="marge TTC",IF(G158&lt;prixA*G157/1000,0,(G158-prixA*G157/1000)*_tva1/(1+_tva1)),0),IF(typetva2="marge TTC",IF(G167&lt;prixA*G166/1000,0,(G167-prixA*G166/1000)*_tva2/(1+_tva2)),0),IF(typetva3="marge TTC",IF(G176&lt;prixA*G175/1000,0,(G176-prixA*G175/1000)*_tva3/(1+_tva3)),0),IF(typetva4="marge TTC",IF(G185&lt;prixA*G184/1000,0,(G185-prixA*G184/1000)*_tva4/(1+_tva4)),0),IF(typetva5="marge TTC",IF(G194&lt;prixA*G193/1000,0,(G194-prixA*G193/1000)*_tva5/(1+_tva5)),0))</f>
        <v>0</v>
      </c>
      <c r="H235" s="10">
        <f t="shared" si="82"/>
        <v>0</v>
      </c>
      <c r="I235" s="10">
        <f t="shared" si="82"/>
        <v>0</v>
      </c>
      <c r="J235" s="10">
        <f t="shared" si="82"/>
        <v>0</v>
      </c>
      <c r="K235" s="10">
        <f t="shared" si="82"/>
        <v>0</v>
      </c>
      <c r="L235" s="10">
        <f t="shared" si="82"/>
        <v>0</v>
      </c>
      <c r="M235" s="10">
        <f t="shared" si="82"/>
        <v>0</v>
      </c>
      <c r="N235" s="10">
        <f t="shared" si="82"/>
        <v>0</v>
      </c>
      <c r="O235" s="10">
        <f t="shared" si="82"/>
        <v>0</v>
      </c>
      <c r="P235" s="10">
        <f t="shared" si="82"/>
        <v>0</v>
      </c>
      <c r="Q235" s="10">
        <f t="shared" si="82"/>
        <v>0</v>
      </c>
      <c r="R235" s="10">
        <f t="shared" si="82"/>
        <v>0</v>
      </c>
      <c r="S235" s="10">
        <f t="shared" si="82"/>
        <v>0</v>
      </c>
      <c r="T235" s="10">
        <f t="shared" si="82"/>
        <v>0</v>
      </c>
      <c r="U235"/>
      <c r="V235" s="10">
        <f>SUM(D235:T235)</f>
        <v>0</v>
      </c>
      <c r="W235" s="353"/>
      <c r="X235" s="5"/>
      <c r="Y235" s="5"/>
    </row>
    <row r="236" spans="1:51" s="4" customFormat="1" ht="12.95" customHeight="1">
      <c r="A236" s="104"/>
      <c r="B236" s="71"/>
      <c r="C236" s="75" t="s">
        <v>18</v>
      </c>
      <c r="D236" s="73">
        <f t="shared" ref="D236:T236" si="83">SUM(D232:D235)</f>
        <v>0</v>
      </c>
      <c r="E236" s="73">
        <f t="shared" si="83"/>
        <v>0</v>
      </c>
      <c r="F236" s="73">
        <f t="shared" si="83"/>
        <v>0</v>
      </c>
      <c r="G236" s="73">
        <f t="shared" si="83"/>
        <v>135</v>
      </c>
      <c r="H236" s="73">
        <f t="shared" si="83"/>
        <v>135</v>
      </c>
      <c r="I236" s="73">
        <f t="shared" si="83"/>
        <v>135</v>
      </c>
      <c r="J236" s="73">
        <f t="shared" si="83"/>
        <v>135</v>
      </c>
      <c r="K236" s="73">
        <f t="shared" si="83"/>
        <v>135</v>
      </c>
      <c r="L236" s="73">
        <f t="shared" si="83"/>
        <v>135</v>
      </c>
      <c r="M236" s="73">
        <f t="shared" si="83"/>
        <v>135</v>
      </c>
      <c r="N236" s="73">
        <f t="shared" si="83"/>
        <v>135</v>
      </c>
      <c r="O236" s="73">
        <f t="shared" si="83"/>
        <v>135</v>
      </c>
      <c r="P236" s="73">
        <f t="shared" si="83"/>
        <v>135</v>
      </c>
      <c r="Q236" s="73">
        <f t="shared" si="83"/>
        <v>0</v>
      </c>
      <c r="R236" s="73">
        <f t="shared" si="83"/>
        <v>0</v>
      </c>
      <c r="S236" s="73">
        <f t="shared" si="83"/>
        <v>0</v>
      </c>
      <c r="T236" s="73">
        <f t="shared" si="83"/>
        <v>0</v>
      </c>
      <c r="U236"/>
      <c r="V236" s="73">
        <f>SUM(V232:V235)</f>
        <v>1350</v>
      </c>
      <c r="W236" s="353"/>
    </row>
    <row r="237" spans="1:51" s="4" customFormat="1" ht="12.95" customHeight="1">
      <c r="A237" s="72" t="s">
        <v>227</v>
      </c>
      <c r="B237" s="71"/>
      <c r="C237" s="378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/>
      <c r="V237" s="82"/>
      <c r="W237" s="353"/>
    </row>
    <row r="238" spans="1:51" s="4" customFormat="1" ht="12.95" customHeight="1">
      <c r="A238" s="47"/>
      <c r="B238" s="12" t="s">
        <v>228</v>
      </c>
      <c r="C238" s="192">
        <v>0</v>
      </c>
      <c r="D238" s="2">
        <v>0</v>
      </c>
      <c r="E238" s="2">
        <v>0</v>
      </c>
      <c r="F238" s="10">
        <f>IF($F$226=datefin,IF(SUM($D$236:$F$236,$D$239:$E$239)&gt;SUM($D$230:$F$230,$D$238:$E$238),SUM($D$236:$F$236,$D$239:$E$239)-SUM($D$230:$F$230,$D$238:$E$238),0),IF(SUM($D$236:$F$236,$D$239:$E$239)&gt;SUM($D$230:$E$230,$D$238:$E$238),SUM($D$236:$F$236,$D$239:$E$239)-SUM($D$230:$E$230,$D$238:$E$238),0))+C238</f>
        <v>0</v>
      </c>
      <c r="G238" s="10">
        <f>IF(G226&gt;datefin,0,IF(G226=datefin, IF(G236&gt;SUM(F230:G230),G236-SUM(F230:G230),0),IF(G236&gt;F230,G236-F230,0)))</f>
        <v>100</v>
      </c>
      <c r="H238" s="10">
        <f>IF(H226&gt;datefin,0,IF(H226=datefin, IF(H236&gt;SUM(G230:H230),H236-SUM(G230:H230),0),IF(H236&gt;G230,H236-G230,0)))</f>
        <v>126</v>
      </c>
      <c r="I238" s="10">
        <f t="shared" ref="I238:S238" si="84">IF(I226&gt;datefin,0,IF(I226=datefin, IF(I236&gt;SUM(H230:I230),I236-SUM(H230:I230),0),IF(I236&gt;H230,I236-H230,0)))</f>
        <v>124</v>
      </c>
      <c r="J238" s="10">
        <f t="shared" si="84"/>
        <v>102</v>
      </c>
      <c r="K238" s="10">
        <f t="shared" si="84"/>
        <v>135</v>
      </c>
      <c r="L238" s="10">
        <f t="shared" si="84"/>
        <v>135</v>
      </c>
      <c r="M238" s="10">
        <f t="shared" si="84"/>
        <v>0</v>
      </c>
      <c r="N238" s="10">
        <f t="shared" si="84"/>
        <v>135</v>
      </c>
      <c r="O238" s="10">
        <f t="shared" si="84"/>
        <v>135</v>
      </c>
      <c r="P238" s="10">
        <f t="shared" si="84"/>
        <v>135</v>
      </c>
      <c r="Q238" s="10">
        <f t="shared" si="84"/>
        <v>0</v>
      </c>
      <c r="R238" s="10">
        <f t="shared" si="84"/>
        <v>0</v>
      </c>
      <c r="S238" s="10">
        <f t="shared" si="84"/>
        <v>0</v>
      </c>
      <c r="T238" s="10">
        <f>IF(T226&gt;datefin,0,IF(T236&gt;SUM(S230:T230),T236-SUM(S230:T230),0))</f>
        <v>0</v>
      </c>
      <c r="U238" s="10">
        <f>IF(SUM($D$236:U236)&lt;SUM($D$230:U230),SUM($D$230:U230)-SUM($D$236:U236),0)+R238</f>
        <v>0</v>
      </c>
      <c r="V238" s="10">
        <f>SUM(D238:T238)</f>
        <v>1127</v>
      </c>
      <c r="W238" s="353"/>
    </row>
    <row r="239" spans="1:51" s="4" customFormat="1" ht="12.95" customHeight="1">
      <c r="A239" s="47"/>
      <c r="B239" s="12" t="s">
        <v>229</v>
      </c>
      <c r="C239" s="192">
        <v>0</v>
      </c>
      <c r="D239" s="2">
        <v>439</v>
      </c>
      <c r="E239" s="2">
        <v>0</v>
      </c>
      <c r="F239" s="10">
        <f>IF($F$226=datefin,IF(SUM($D$236:$F$236,$D$239:$E$239)&lt;SUM($D$230:$F$230,$D$238:$E$238),-SUM($D$236:$F$236,$D$239:$E$239)+SUM($D$230:$F$230,$D$238:$E$238),0),IF(SUM($D$236:$F$236,$D$239:$E$239)&lt;SUM($D$230:$E$230,$D$238:$E$238),-SUM($D$236:$F$236,$D$239:$E$239)+SUM($D$230:$E$230,$D$238:$E$238),0))+C239</f>
        <v>14</v>
      </c>
      <c r="G239" s="10">
        <f t="shared" ref="G239:S239" si="85">IF(G226&gt;datefin,0,IF(G226=datefin, IF(G236&lt;SUM(F230:G230),SUM(F230:G230)-G236,0),IF(G236&lt;F230,F230-G236,0)))</f>
        <v>0</v>
      </c>
      <c r="H239" s="10">
        <f t="shared" si="85"/>
        <v>0</v>
      </c>
      <c r="I239" s="10">
        <f t="shared" si="85"/>
        <v>0</v>
      </c>
      <c r="J239" s="10">
        <f t="shared" si="85"/>
        <v>0</v>
      </c>
      <c r="K239" s="10">
        <f t="shared" si="85"/>
        <v>0</v>
      </c>
      <c r="L239" s="10">
        <f t="shared" si="85"/>
        <v>0</v>
      </c>
      <c r="M239" s="10">
        <f t="shared" si="85"/>
        <v>156</v>
      </c>
      <c r="N239" s="10">
        <f t="shared" si="85"/>
        <v>0</v>
      </c>
      <c r="O239" s="10">
        <f t="shared" si="85"/>
        <v>0</v>
      </c>
      <c r="P239" s="10">
        <f t="shared" si="85"/>
        <v>0</v>
      </c>
      <c r="Q239" s="10">
        <f t="shared" si="85"/>
        <v>0</v>
      </c>
      <c r="R239" s="10">
        <f t="shared" si="85"/>
        <v>0</v>
      </c>
      <c r="S239" s="10">
        <f t="shared" si="85"/>
        <v>0</v>
      </c>
      <c r="T239" s="10">
        <f>IF(T226&gt;datefin,0,IF(T236&lt;SUM(S230:T230),SUM(S230:T230)-T236,0))</f>
        <v>0</v>
      </c>
      <c r="U239"/>
      <c r="V239" s="82">
        <f>SUM(D239:T239)</f>
        <v>609</v>
      </c>
      <c r="W239" s="353"/>
    </row>
    <row r="240" spans="1:51" s="4" customFormat="1" ht="5.0999999999999996" customHeight="1">
      <c r="A240" s="7"/>
      <c r="B240" s="8"/>
      <c r="C240" s="9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/>
      <c r="V240" s="10"/>
      <c r="W240" s="353"/>
    </row>
    <row r="241" spans="1:23" s="4" customFormat="1" ht="16.899999999999999" customHeight="1">
      <c r="A241" s="251"/>
      <c r="B241" s="252"/>
      <c r="C241" s="253" t="s">
        <v>230</v>
      </c>
      <c r="D241" s="262">
        <f t="shared" ref="D241:T241" si="86">SUM(D236,D239)-SUM(D230,D238)</f>
        <v>-14</v>
      </c>
      <c r="E241" s="262">
        <f t="shared" si="86"/>
        <v>0</v>
      </c>
      <c r="F241" s="262">
        <f t="shared" si="86"/>
        <v>-21</v>
      </c>
      <c r="G241" s="262">
        <f t="shared" si="86"/>
        <v>26</v>
      </c>
      <c r="H241" s="262">
        <f t="shared" si="86"/>
        <v>-2</v>
      </c>
      <c r="I241" s="262">
        <f t="shared" si="86"/>
        <v>-22</v>
      </c>
      <c r="J241" s="262">
        <f t="shared" si="86"/>
        <v>33</v>
      </c>
      <c r="K241" s="262">
        <f t="shared" si="86"/>
        <v>0</v>
      </c>
      <c r="L241" s="262">
        <f t="shared" si="86"/>
        <v>-291</v>
      </c>
      <c r="M241" s="262">
        <f t="shared" si="86"/>
        <v>291</v>
      </c>
      <c r="N241" s="262">
        <f t="shared" si="86"/>
        <v>0</v>
      </c>
      <c r="O241" s="262">
        <f t="shared" si="86"/>
        <v>0</v>
      </c>
      <c r="P241" s="262">
        <f t="shared" si="86"/>
        <v>0</v>
      </c>
      <c r="Q241" s="262">
        <f t="shared" si="86"/>
        <v>0</v>
      </c>
      <c r="R241" s="262">
        <f t="shared" si="86"/>
        <v>0</v>
      </c>
      <c r="S241" s="262">
        <f t="shared" si="86"/>
        <v>0</v>
      </c>
      <c r="T241" s="262">
        <f t="shared" si="86"/>
        <v>0</v>
      </c>
      <c r="U241"/>
      <c r="V241" s="262">
        <f>SUM(D241:T241)</f>
        <v>0</v>
      </c>
      <c r="W241" s="363"/>
    </row>
    <row r="242" spans="1:23" s="12" customFormat="1" ht="5.0999999999999996" customHeight="1">
      <c r="A242" s="105"/>
      <c r="B242" s="105"/>
      <c r="C242" s="8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/>
      <c r="V242" s="6"/>
      <c r="W242" s="364"/>
    </row>
    <row r="243" spans="1:23" s="4" customFormat="1" ht="16.899999999999999" customHeight="1">
      <c r="A243" s="254" t="s">
        <v>1</v>
      </c>
      <c r="B243" s="255"/>
      <c r="C243" s="256"/>
      <c r="D243" s="219" t="s">
        <v>2</v>
      </c>
      <c r="E243" s="219" t="s">
        <v>2</v>
      </c>
      <c r="F243" s="221" t="s">
        <v>1</v>
      </c>
      <c r="G243" s="221" t="s">
        <v>1</v>
      </c>
      <c r="H243" s="221"/>
      <c r="I243" s="221"/>
      <c r="J243" s="221"/>
      <c r="K243" s="221"/>
      <c r="L243" s="221"/>
      <c r="M243" s="221"/>
      <c r="N243" s="221"/>
      <c r="O243" s="221"/>
      <c r="P243" s="221"/>
      <c r="Q243" s="221"/>
      <c r="R243" s="221"/>
      <c r="S243" s="221"/>
      <c r="T243" s="221"/>
      <c r="U243"/>
      <c r="V243" s="219"/>
      <c r="W243" s="405" t="s">
        <v>177</v>
      </c>
    </row>
    <row r="244" spans="1:23" s="4" customFormat="1" ht="16.899999999999999" customHeight="1">
      <c r="A244" s="257" t="s">
        <v>71</v>
      </c>
      <c r="B244" s="258"/>
      <c r="C244" s="259"/>
      <c r="D244" s="237" t="s">
        <v>4</v>
      </c>
      <c r="E244" s="237" t="s">
        <v>5</v>
      </c>
      <c r="F244" s="238">
        <f>F5</f>
        <v>2012</v>
      </c>
      <c r="G244" s="238">
        <f>F244+1</f>
        <v>2013</v>
      </c>
      <c r="H244" s="238">
        <f>G244+1</f>
        <v>2014</v>
      </c>
      <c r="I244" s="238">
        <f>H244+1</f>
        <v>2015</v>
      </c>
      <c r="J244" s="238">
        <f>I244+1</f>
        <v>2016</v>
      </c>
      <c r="K244" s="238">
        <f>J244+1</f>
        <v>2017</v>
      </c>
      <c r="L244" s="238">
        <f t="shared" ref="L244:T244" si="87">K244+1</f>
        <v>2018</v>
      </c>
      <c r="M244" s="238">
        <f t="shared" si="87"/>
        <v>2019</v>
      </c>
      <c r="N244" s="238">
        <f t="shared" si="87"/>
        <v>2020</v>
      </c>
      <c r="O244" s="238">
        <f t="shared" si="87"/>
        <v>2021</v>
      </c>
      <c r="P244" s="238">
        <f t="shared" si="87"/>
        <v>2022</v>
      </c>
      <c r="Q244" s="238">
        <f t="shared" si="87"/>
        <v>2023</v>
      </c>
      <c r="R244" s="238">
        <f t="shared" si="87"/>
        <v>2024</v>
      </c>
      <c r="S244" s="238">
        <f t="shared" si="87"/>
        <v>2025</v>
      </c>
      <c r="T244" s="238">
        <f t="shared" si="87"/>
        <v>2026</v>
      </c>
      <c r="U244"/>
      <c r="V244" s="239" t="s">
        <v>6</v>
      </c>
      <c r="W244" s="406"/>
    </row>
    <row r="245" spans="1:23" s="4" customFormat="1" ht="16.899999999999999" customHeight="1">
      <c r="A245" s="260"/>
      <c r="B245" s="261"/>
      <c r="C245" s="240" t="str">
        <f>$C$6</f>
        <v>K€ HT</v>
      </c>
      <c r="D245" s="232">
        <f>D6</f>
        <v>2011</v>
      </c>
      <c r="E245" s="346">
        <f>E6</f>
        <v>39446</v>
      </c>
      <c r="F245" s="233"/>
      <c r="G245" s="233"/>
      <c r="H245" s="233"/>
      <c r="I245" s="233"/>
      <c r="J245" s="233"/>
      <c r="K245" s="233"/>
      <c r="L245" s="233"/>
      <c r="M245" s="233"/>
      <c r="N245" s="233"/>
      <c r="O245" s="233"/>
      <c r="P245" s="233"/>
      <c r="Q245" s="233"/>
      <c r="R245" s="233"/>
      <c r="S245" s="233"/>
      <c r="T245" s="233"/>
      <c r="U245"/>
      <c r="V245" s="250"/>
      <c r="W245" s="407"/>
    </row>
    <row r="246" spans="1:23" s="74" customFormat="1" ht="16.899999999999999" customHeight="1">
      <c r="A246" s="101" t="s">
        <v>72</v>
      </c>
      <c r="B246" s="102"/>
      <c r="C246" s="103"/>
      <c r="D246" s="73">
        <f t="shared" ref="D246:T246" si="88">D144</f>
        <v>4342</v>
      </c>
      <c r="E246" s="73">
        <f t="shared" si="88"/>
        <v>0</v>
      </c>
      <c r="F246" s="73">
        <f t="shared" si="88"/>
        <v>379</v>
      </c>
      <c r="G246" s="73">
        <f t="shared" si="88"/>
        <v>227</v>
      </c>
      <c r="H246" s="73">
        <f t="shared" si="88"/>
        <v>192</v>
      </c>
      <c r="I246" s="73">
        <f t="shared" si="88"/>
        <v>284</v>
      </c>
      <c r="J246" s="73">
        <f t="shared" si="88"/>
        <v>65</v>
      </c>
      <c r="K246" s="73">
        <f t="shared" si="88"/>
        <v>40</v>
      </c>
      <c r="L246" s="73">
        <f t="shared" si="88"/>
        <v>1772</v>
      </c>
      <c r="M246" s="73">
        <f t="shared" si="88"/>
        <v>44</v>
      </c>
      <c r="N246" s="73">
        <f t="shared" si="88"/>
        <v>41</v>
      </c>
      <c r="O246" s="73">
        <f t="shared" si="88"/>
        <v>40</v>
      </c>
      <c r="P246" s="73">
        <f t="shared" si="88"/>
        <v>40</v>
      </c>
      <c r="Q246" s="73">
        <f t="shared" si="88"/>
        <v>0</v>
      </c>
      <c r="R246" s="73">
        <f t="shared" si="88"/>
        <v>0</v>
      </c>
      <c r="S246" s="73">
        <f t="shared" si="88"/>
        <v>34</v>
      </c>
      <c r="T246" s="73">
        <f t="shared" si="88"/>
        <v>0</v>
      </c>
      <c r="U246"/>
      <c r="V246" s="73">
        <f>SUM(D246:T246)</f>
        <v>7500</v>
      </c>
      <c r="W246" s="352"/>
    </row>
    <row r="247" spans="1:23" s="4" customFormat="1" ht="16.899999999999999" customHeight="1">
      <c r="A247" s="104" t="s">
        <v>73</v>
      </c>
      <c r="B247" s="71"/>
      <c r="C247" s="9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/>
      <c r="V247" s="82"/>
      <c r="W247" s="353"/>
    </row>
    <row r="248" spans="1:23" s="4" customFormat="1" ht="16.899999999999999" customHeight="1">
      <c r="A248" s="47"/>
      <c r="B248" s="133" t="str">
        <f>B272</f>
        <v>avance opération N°</v>
      </c>
      <c r="C248" s="132"/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/>
      <c r="V248" s="82">
        <f>SUM(D248:T248)</f>
        <v>0</v>
      </c>
      <c r="W248" s="353">
        <v>202</v>
      </c>
    </row>
    <row r="249" spans="1:23" s="4" customFormat="1" ht="16.899999999999999" customHeight="1">
      <c r="A249" s="47"/>
      <c r="B249" s="133" t="str">
        <f>B273</f>
        <v>avance communale</v>
      </c>
      <c r="C249" s="132"/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2000</v>
      </c>
      <c r="S249" s="2">
        <v>0</v>
      </c>
      <c r="T249" s="2">
        <v>0</v>
      </c>
      <c r="U249"/>
      <c r="V249" s="82">
        <f>SUM(D249:T249)</f>
        <v>2000</v>
      </c>
      <c r="W249" s="353">
        <v>202</v>
      </c>
    </row>
    <row r="250" spans="1:23" s="4" customFormat="1" ht="16.899999999999999" customHeight="1">
      <c r="A250" s="47"/>
      <c r="B250" s="133" t="str">
        <f>B274</f>
        <v>acomptes sur terrains</v>
      </c>
      <c r="C250" s="132"/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/>
      <c r="V250" s="82">
        <f>SUM(D250:T250)</f>
        <v>0</v>
      </c>
      <c r="W250" s="353">
        <v>202</v>
      </c>
    </row>
    <row r="251" spans="1:23" s="4" customFormat="1" ht="16.899999999999999" customHeight="1">
      <c r="A251" s="104"/>
      <c r="B251" s="71"/>
      <c r="C251" s="75" t="s">
        <v>18</v>
      </c>
      <c r="D251" s="73">
        <f t="shared" ref="D251:P251" si="89">SUM(D247:D250)</f>
        <v>0</v>
      </c>
      <c r="E251" s="73">
        <f t="shared" si="89"/>
        <v>0</v>
      </c>
      <c r="F251" s="73">
        <f t="shared" si="89"/>
        <v>0</v>
      </c>
      <c r="G251" s="73">
        <f t="shared" si="89"/>
        <v>0</v>
      </c>
      <c r="H251" s="73">
        <f t="shared" si="89"/>
        <v>0</v>
      </c>
      <c r="I251" s="73">
        <f t="shared" si="89"/>
        <v>0</v>
      </c>
      <c r="J251" s="73">
        <f t="shared" si="89"/>
        <v>0</v>
      </c>
      <c r="K251" s="73">
        <f t="shared" si="89"/>
        <v>0</v>
      </c>
      <c r="L251" s="73">
        <f t="shared" si="89"/>
        <v>0</v>
      </c>
      <c r="M251" s="73">
        <f t="shared" si="89"/>
        <v>0</v>
      </c>
      <c r="N251" s="73">
        <f t="shared" si="89"/>
        <v>0</v>
      </c>
      <c r="O251" s="73">
        <f t="shared" si="89"/>
        <v>0</v>
      </c>
      <c r="P251" s="73">
        <f t="shared" si="89"/>
        <v>0</v>
      </c>
      <c r="Q251" s="73">
        <f>SUM(Q247:Q250)</f>
        <v>0</v>
      </c>
      <c r="R251" s="73">
        <f>SUM(R247:R250)</f>
        <v>2000</v>
      </c>
      <c r="S251" s="73">
        <f>SUM(S247:S250)</f>
        <v>0</v>
      </c>
      <c r="T251" s="73">
        <f>SUM(T247:T250)</f>
        <v>0</v>
      </c>
      <c r="U251"/>
      <c r="V251" s="73">
        <f>SUM(V247:V250)</f>
        <v>2000</v>
      </c>
      <c r="W251" s="353"/>
    </row>
    <row r="252" spans="1:23" s="4" customFormat="1" ht="16.899999999999999" customHeight="1">
      <c r="A252" s="104" t="s">
        <v>74</v>
      </c>
      <c r="B252" s="71"/>
      <c r="C252" s="193" t="s">
        <v>30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/>
      <c r="V252" s="82"/>
      <c r="W252" s="353"/>
    </row>
    <row r="253" spans="1:23" s="4" customFormat="1" ht="16.899999999999999" customHeight="1">
      <c r="A253" s="47"/>
      <c r="B253" s="12" t="str">
        <f>données!$B$10</f>
        <v>emprunt 1</v>
      </c>
      <c r="C253" s="192">
        <v>0</v>
      </c>
      <c r="D253" s="2">
        <v>0</v>
      </c>
      <c r="E253" s="2">
        <v>0</v>
      </c>
      <c r="F253" s="10">
        <f>IF(F$244-YEAR(dateE1)=DuréeE1,montantE1-SUM(D253:E253),IF(OR(F$244-YEAR(dateE1)&gt;DuréeE1,F$244-YEAR(dateE1)&lt;DifféréE1+1),0,-PPMT(tauxE1,F$244-YEAR(dateE1)-DifféréE1,DuréeE1-DifféréE1,montantE1)-E253)+C253)</f>
        <v>0</v>
      </c>
      <c r="G253" s="10">
        <f>IF(G$244-YEAR(dateE1)=DuréeE1,montantE1-SUM($D253:F253),IF(OR(G$244-YEAR(dateE1)&gt;DuréeE1,G$244-YEAR(dateE1)&lt;DifféréE1+1),0,-PPMT(tauxE1,G$244-YEAR(dateE1)-DifféréE1,DuréeE1-DifféréE1,montantE1)))</f>
        <v>0</v>
      </c>
      <c r="H253" s="10">
        <f>IF(H$244-YEAR(dateE1)=DuréeE1,montantE1-SUM($D253:G253),IF(OR(H$244-YEAR(dateE1)&gt;DuréeE1,H$244-YEAR(dateE1)&lt;DifféréE1+1),0,-PPMT(tauxE1,H$244-YEAR(dateE1)-DifféréE1,DuréeE1-DifféréE1,montantE1)))</f>
        <v>0</v>
      </c>
      <c r="I253" s="10">
        <f>IF(I$244-YEAR(dateE1)=DuréeE1,montantE1-SUM($D253:H253),IF(OR(I$244-YEAR(dateE1)&gt;DuréeE1,I$244-YEAR(dateE1)&lt;DifféréE1+1),0,-PPMT(tauxE1,I$244-YEAR(dateE1)-DifféréE1,DuréeE1-DifféréE1,montantE1)))</f>
        <v>0</v>
      </c>
      <c r="J253" s="10">
        <f>IF(J$244-YEAR(dateE1)=DuréeE1,montantE1-SUM($D253:I253),IF(OR(J$244-YEAR(dateE1)&gt;DuréeE1,J$244-YEAR(dateE1)&lt;DifféréE1+1),0,-PPMT(tauxE1,J$244-YEAR(dateE1)-DifféréE1,DuréeE1-DifféréE1,montantE1)))</f>
        <v>0</v>
      </c>
      <c r="K253" s="10">
        <f>IF(K$244-YEAR(dateE1)=DuréeE1,montantE1-SUM($D253:J253),IF(OR(K$244-YEAR(dateE1)&gt;DuréeE1,K$244-YEAR(dateE1)&lt;DifféréE1+1),0,-PPMT(tauxE1,K$244-YEAR(dateE1)-DifféréE1,DuréeE1-DifféréE1,montantE1)))</f>
        <v>0</v>
      </c>
      <c r="L253" s="10">
        <f>IF(L$244-YEAR(dateE1)=DuréeE1,montantE1-SUM($D253:K253),IF(OR(L$244-YEAR(dateE1)&gt;DuréeE1,L$244-YEAR(dateE1)&lt;DifféréE1+1),0,-PPMT(tauxE1,L$244-YEAR(dateE1)-DifféréE1,DuréeE1-DifféréE1,montantE1)))</f>
        <v>0</v>
      </c>
      <c r="M253" s="10">
        <f>IF(M$244-YEAR(dateE1)=DuréeE1,montantE1-SUM($D253:L253),IF(OR(M$244-YEAR(dateE1)&gt;DuréeE1,M$244-YEAR(dateE1)&lt;DifféréE1+1),0,-PPMT(tauxE1,M$244-YEAR(dateE1)-DifféréE1,DuréeE1-DifféréE1,montantE1)))</f>
        <v>0</v>
      </c>
      <c r="N253" s="10">
        <f>IF(N$244-YEAR(dateE1)=DuréeE1,montantE1-SUM($D253:M253),IF(OR(N$244-YEAR(dateE1)&gt;DuréeE1,N$244-YEAR(dateE1)&lt;DifféréE1+1),0,-PPMT(tauxE1,N$244-YEAR(dateE1)-DifféréE1,DuréeE1-DifféréE1,montantE1)))</f>
        <v>0</v>
      </c>
      <c r="O253" s="10">
        <f>IF(O$244-YEAR(dateE1)=DuréeE1,montantE1-SUM($D253:N253),IF(OR(O$244-YEAR(dateE1)&gt;DuréeE1,O$244-YEAR(dateE1)&lt;DifféréE1+1),0,-PPMT(tauxE1,O$244-YEAR(dateE1)-DifféréE1,DuréeE1-DifféréE1,montantE1)))</f>
        <v>0</v>
      </c>
      <c r="P253" s="10">
        <f>IF(P$244-YEAR(dateE1)=DuréeE1,montantE1-SUM($D253:O253),IF(OR(P$244-YEAR(dateE1)&gt;DuréeE1,P$244-YEAR(dateE1)&lt;DifféréE1+1),0,-PPMT(tauxE1,P$244-YEAR(dateE1)-DifféréE1,DuréeE1-DifféréE1,montantE1)))</f>
        <v>0</v>
      </c>
      <c r="Q253" s="10">
        <f>IF(Q$244-YEAR(dateE1)=DuréeE1,montantE1-SUM($D253:P253),IF(OR(Q$244-YEAR(dateE1)&gt;DuréeE1,Q$244-YEAR(dateE1)&lt;DifféréE1+1),0,-PPMT(tauxE1,Q$244-YEAR(dateE1)-DifféréE1,DuréeE1-DifféréE1,montantE1)))</f>
        <v>0</v>
      </c>
      <c r="R253" s="10">
        <f>IF(R$244-YEAR(dateE1)=DuréeE1,montantE1-SUM($D253:Q253),IF(OR(R$244-YEAR(dateE1)&gt;DuréeE1,R$244-YEAR(dateE1)&lt;DifféréE1+1),0,-PPMT(tauxE1,R$244-YEAR(dateE1)-DifféréE1,DuréeE1-DifféréE1,montantE1)))</f>
        <v>0</v>
      </c>
      <c r="S253" s="10">
        <f>IF(S$244-YEAR(dateE1)=DuréeE1,montantE1-SUM($D253:R253),IF(OR(S$244-YEAR(dateE1)&gt;DuréeE1,S$244-YEAR(dateE1)&lt;DifféréE1+1),0,-PPMT(tauxE1,S$244-YEAR(dateE1)-DifféréE1,DuréeE1-DifféréE1,montantE1)))</f>
        <v>0</v>
      </c>
      <c r="T253" s="10">
        <f>montantE1-SUM(D253:S253)</f>
        <v>0</v>
      </c>
      <c r="U253"/>
      <c r="V253" s="82">
        <f t="shared" ref="V253:V258" si="90">SUM(D253:T253)</f>
        <v>0</v>
      </c>
      <c r="W253" s="353">
        <v>102</v>
      </c>
    </row>
    <row r="254" spans="1:23" s="4" customFormat="1" ht="17.100000000000001" customHeight="1">
      <c r="A254" s="47"/>
      <c r="B254" s="12" t="str">
        <f>données!$B$11</f>
        <v>emprunt 2</v>
      </c>
      <c r="C254" s="192">
        <v>0</v>
      </c>
      <c r="D254" s="2">
        <v>0</v>
      </c>
      <c r="E254" s="2">
        <v>0</v>
      </c>
      <c r="F254" s="10">
        <f>IF(F$244-YEAR(dateE2)=duréeE2,montantE2-SUM(D254:E254),IF(OR(F$244-YEAR(dateE2)&gt;duréeE2,F$244-YEAR(dateE2)&lt;DifféréE2+1),0,-PPMT(tauxE2,F$244-YEAR(dateE2)-DifféréE2,duréeE2-DifféréE2,montantE2)-E254)+C254)</f>
        <v>0</v>
      </c>
      <c r="G254" s="10">
        <f>IF(G$244-YEAR(dateE2)=duréeE2,montantE2-SUM($D254:F254),IF(OR(G$244-YEAR(dateE2)&gt;duréeE2,G$244-YEAR(dateE2)&lt;DifféréE2+1),0,-PPMT(tauxE2,G$244-YEAR(dateE2)-DifféréE2,duréeE2-DifféréE2,montantE2)))</f>
        <v>0</v>
      </c>
      <c r="H254" s="10">
        <f>IF(H$244-YEAR(dateE2)=duréeE2,montantE2-SUM($D254:G254),IF(OR(H$244-YEAR(dateE2)&gt;duréeE2,H$244-YEAR(dateE2)&lt;DifféréE2+1),0,-PPMT(tauxE2,H$244-YEAR(dateE2)-DifféréE2,duréeE2-DifféréE2,montantE2)))</f>
        <v>0</v>
      </c>
      <c r="I254" s="10">
        <f>IF(I$244-YEAR(dateE2)=duréeE2,montantE2-SUM($D254:H254),IF(OR(I$244-YEAR(dateE2)&gt;duréeE2,I$244-YEAR(dateE2)&lt;DifféréE2+1),0,-PPMT(tauxE2,I$244-YEAR(dateE2)-DifféréE2,duréeE2-DifféréE2,montantE2)))</f>
        <v>0</v>
      </c>
      <c r="J254" s="10">
        <f>IF(J$244-YEAR(dateE2)=duréeE2,montantE2-SUM($D254:I254),IF(OR(J$244-YEAR(dateE2)&gt;duréeE2,J$244-YEAR(dateE2)&lt;DifféréE2+1),0,-PPMT(tauxE2,J$244-YEAR(dateE2)-DifféréE2,duréeE2-DifféréE2,montantE2)))</f>
        <v>0</v>
      </c>
      <c r="K254" s="10">
        <f>IF(K$244-YEAR(dateE2)=duréeE2,montantE2-SUM($D254:J254),IF(OR(K$244-YEAR(dateE2)&gt;duréeE2,K$244-YEAR(dateE2)&lt;DifféréE2+1),0,-PPMT(tauxE2,K$244-YEAR(dateE2)-DifféréE2,duréeE2-DifféréE2,montantE2)))</f>
        <v>0</v>
      </c>
      <c r="L254" s="10">
        <f>IF(L$244-YEAR(dateE2)=duréeE2,montantE2-SUM($D254:K254),IF(OR(L$244-YEAR(dateE2)&gt;duréeE2,L$244-YEAR(dateE2)&lt;DifféréE2+1),0,-PPMT(tauxE2,L$244-YEAR(dateE2)-DifféréE2,duréeE2-DifféréE2,montantE2)))</f>
        <v>0</v>
      </c>
      <c r="M254" s="10">
        <f>IF(M$244-YEAR(dateE2)=duréeE2,montantE2-SUM($D254:L254),IF(OR(M$244-YEAR(dateE2)&gt;duréeE2,M$244-YEAR(dateE2)&lt;DifféréE2+1),0,-PPMT(tauxE2,M$244-YEAR(dateE2)-DifféréE2,duréeE2-DifféréE2,montantE2)))</f>
        <v>0</v>
      </c>
      <c r="N254" s="10">
        <f>IF(N$244-YEAR(dateE2)=duréeE2,montantE2-SUM($D254:M254),IF(OR(N$244-YEAR(dateE2)&gt;duréeE2,N$244-YEAR(dateE2)&lt;DifféréE2+1),0,-PPMT(tauxE2,N$244-YEAR(dateE2)-DifféréE2,duréeE2-DifféréE2,montantE2)))</f>
        <v>0</v>
      </c>
      <c r="O254" s="10">
        <f>IF(O$244-YEAR(dateE2)=duréeE2,montantE2-SUM($D254:N254),IF(OR(O$244-YEAR(dateE2)&gt;duréeE2,O$244-YEAR(dateE2)&lt;DifféréE2+1),0,-PPMT(tauxE2,O$244-YEAR(dateE2)-DifféréE2,duréeE2-DifféréE2,montantE2)))</f>
        <v>0</v>
      </c>
      <c r="P254" s="10">
        <f>IF(P$244-YEAR(dateE2)=duréeE2,montantE2-SUM($D254:O254),IF(OR(P$244-YEAR(dateE2)&gt;duréeE2,P$244-YEAR(dateE2)&lt;DifféréE2+1),0,-PPMT(tauxE2,P$244-YEAR(dateE2)-DifféréE2,duréeE2-DifféréE2,montantE2)))</f>
        <v>0</v>
      </c>
      <c r="Q254" s="10">
        <f>IF(Q$244-YEAR(dateE2)=duréeE2,montantE2-SUM($D254:P254),IF(OR(Q$244-YEAR(dateE2)&gt;duréeE2,Q$244-YEAR(dateE2)&lt;DifféréE2+1),0,-PPMT(tauxE2,Q$244-YEAR(dateE2)-DifféréE2,duréeE2-DifféréE2,montantE2)))</f>
        <v>0</v>
      </c>
      <c r="R254" s="10">
        <f>IF(R$244-YEAR(dateE2)=duréeE2,montantE2-SUM($D254:Q254),IF(OR(R$244-YEAR(dateE2)&gt;duréeE2,R$244-YEAR(dateE2)&lt;DifféréE2+1),0,-PPMT(tauxE2,R$244-YEAR(dateE2)-DifféréE2,duréeE2-DifféréE2,montantE2)))</f>
        <v>0</v>
      </c>
      <c r="S254" s="10">
        <f>IF(S$244-YEAR(dateE2)=duréeE2,montantE2-SUM($D254:R254),IF(OR(S$244-YEAR(dateE2)&gt;duréeE2,S$244-YEAR(dateE2)&lt;DifféréE2+1),0,-PPMT(tauxE2,S$244-YEAR(dateE2)-DifféréE2,duréeE2-DifféréE2,montantE2)))</f>
        <v>0</v>
      </c>
      <c r="T254" s="10">
        <f>montantE2-SUM(D254:S254)</f>
        <v>0</v>
      </c>
      <c r="U254"/>
      <c r="V254" s="82">
        <f t="shared" si="90"/>
        <v>0</v>
      </c>
      <c r="W254" s="353">
        <v>102</v>
      </c>
    </row>
    <row r="255" spans="1:23" s="4" customFormat="1" ht="16.899999999999999" customHeight="1">
      <c r="A255" s="47"/>
      <c r="B255" s="12" t="str">
        <f>données!$B$12</f>
        <v>emprunt 3</v>
      </c>
      <c r="C255" s="192">
        <v>0</v>
      </c>
      <c r="D255" s="2">
        <v>0</v>
      </c>
      <c r="E255" s="2">
        <v>0</v>
      </c>
      <c r="F255" s="10">
        <f>IF(F$244-YEAR(dateE3)=DuréeE3,montantE3-SUM(D255:E255),IF(OR(F$244-YEAR(dateE3)&gt;DuréeE3,F$244-YEAR(dateE3)&lt;DifféréE3+1),0,-PPMT(tauxE3,F$244-YEAR(dateE3)-DifféréE3,DuréeE3-DifféréE3,montantE3)-E255)+C255)</f>
        <v>0</v>
      </c>
      <c r="G255" s="10">
        <f>IF(G$244-YEAR(dateE3)=DuréeE3,montantE3-SUM($D255:F255),IF(OR(G$244-YEAR(dateE3)&gt;DuréeE3,G$244-YEAR(dateE3)&lt;DifféréE3+1),0,-PPMT(tauxE3,G$244-YEAR(dateE3)-DifféréE3,DuréeE3-DifféréE3,montantE3)))</f>
        <v>0</v>
      </c>
      <c r="H255" s="10">
        <f>IF(H$244-YEAR(dateE3)=DuréeE3,montantE3-SUM($D255:G255),IF(OR(H$244-YEAR(dateE3)&gt;DuréeE3,H$244-YEAR(dateE3)&lt;DifféréE3+1),0,-PPMT(tauxE3,H$244-YEAR(dateE3)-DifféréE3,DuréeE3-DifféréE3,montantE3)))</f>
        <v>0</v>
      </c>
      <c r="I255" s="10">
        <f>IF(I$244-YEAR(dateE3)=DuréeE3,montantE3-SUM($D255:H255),IF(OR(I$244-YEAR(dateE3)&gt;DuréeE3,I$244-YEAR(dateE3)&lt;DifféréE3+1),0,-PPMT(tauxE3,I$244-YEAR(dateE3)-DifféréE3,DuréeE3-DifféréE3,montantE3)))</f>
        <v>0</v>
      </c>
      <c r="J255" s="10">
        <f>IF(J$244-YEAR(dateE3)=DuréeE3,montantE3-SUM($D255:I255),IF(OR(J$244-YEAR(dateE3)&gt;DuréeE3,J$244-YEAR(dateE3)&lt;DifféréE3+1),0,-PPMT(tauxE3,J$244-YEAR(dateE3)-DifféréE3,DuréeE3-DifféréE3,montantE3)))</f>
        <v>0</v>
      </c>
      <c r="K255" s="10">
        <f>IF(K$244-YEAR(dateE3)=DuréeE3,montantE3-SUM($D255:J255),IF(OR(K$244-YEAR(dateE3)&gt;DuréeE3,K$244-YEAR(dateE3)&lt;DifféréE3+1),0,-PPMT(tauxE3,K$244-YEAR(dateE3)-DifféréE3,DuréeE3-DifféréE3,montantE3)))</f>
        <v>0</v>
      </c>
      <c r="L255" s="10">
        <f>IF(L$244-YEAR(dateE3)=DuréeE3,montantE3-SUM($D255:K255),IF(OR(L$244-YEAR(dateE3)&gt;DuréeE3,L$244-YEAR(dateE3)&lt;DifféréE3+1),0,-PPMT(tauxE3,L$244-YEAR(dateE3)-DifféréE3,DuréeE3-DifféréE3,montantE3)))</f>
        <v>0</v>
      </c>
      <c r="M255" s="10">
        <f>IF(M$244-YEAR(dateE3)=DuréeE3,montantE3-SUM($D255:L255),IF(OR(M$244-YEAR(dateE3)&gt;DuréeE3,M$244-YEAR(dateE3)&lt;DifféréE3+1),0,-PPMT(tauxE3,M$244-YEAR(dateE3)-DifféréE3,DuréeE3-DifféréE3,montantE3)))</f>
        <v>0</v>
      </c>
      <c r="N255" s="10">
        <f>IF(N$244-YEAR(dateE3)=DuréeE3,montantE3-SUM($D255:M255),IF(OR(N$244-YEAR(dateE3)&gt;DuréeE3,N$244-YEAR(dateE3)&lt;DifféréE3+1),0,-PPMT(tauxE3,N$244-YEAR(dateE3)-DifféréE3,DuréeE3-DifféréE3,montantE3)))</f>
        <v>0</v>
      </c>
      <c r="O255" s="10">
        <f>IF(O$244-YEAR(dateE3)=DuréeE3,montantE3-SUM($D255:N255),IF(OR(O$244-YEAR(dateE3)&gt;DuréeE3,O$244-YEAR(dateE3)&lt;DifféréE3+1),0,-PPMT(tauxE3,O$244-YEAR(dateE3)-DifféréE3,DuréeE3-DifféréE3,montantE3)))</f>
        <v>0</v>
      </c>
      <c r="P255" s="10">
        <f>IF(P$244-YEAR(dateE3)=DuréeE3,montantE3-SUM($D255:O255),IF(OR(P$244-YEAR(dateE3)&gt;DuréeE3,P$244-YEAR(dateE3)&lt;DifféréE3+1),0,-PPMT(tauxE3,P$244-YEAR(dateE3)-DifféréE3,DuréeE3-DifféréE3,montantE3)))</f>
        <v>0</v>
      </c>
      <c r="Q255" s="10">
        <f>IF(Q$244-YEAR(dateE3)=DuréeE3,montantE3-SUM($D255:P255),IF(OR(Q$244-YEAR(dateE3)&gt;DuréeE3,Q$244-YEAR(dateE3)&lt;DifféréE3+1),0,-PPMT(tauxE3,Q$244-YEAR(dateE3)-DifféréE3,DuréeE3-DifféréE3,montantE3)))</f>
        <v>0</v>
      </c>
      <c r="R255" s="10">
        <f>IF(R$244-YEAR(dateE3)=DuréeE3,montantE3-SUM($D255:Q255),IF(OR(R$244-YEAR(dateE3)&gt;DuréeE3,R$244-YEAR(dateE3)&lt;DifféréE3+1),0,-PPMT(tauxE3,R$244-YEAR(dateE3)-DifféréE3,DuréeE3-DifféréE3,montantE3)))</f>
        <v>0</v>
      </c>
      <c r="S255" s="10">
        <f>IF(S$244-YEAR(dateE3)=DuréeE3,montantE3-SUM($D255:R255),IF(OR(S$244-YEAR(dateE3)&gt;DuréeE3,S$244-YEAR(dateE3)&lt;DifféréE3+1),0,-PPMT(tauxE3,S$244-YEAR(dateE3)-DifféréE3,DuréeE3-DifféréE3,montantE3)))</f>
        <v>0</v>
      </c>
      <c r="T255" s="10">
        <f>montantE3-SUM(D255:S255)</f>
        <v>0</v>
      </c>
      <c r="U255"/>
      <c r="V255" s="82">
        <f t="shared" si="90"/>
        <v>0</v>
      </c>
      <c r="W255" s="353">
        <v>102</v>
      </c>
    </row>
    <row r="256" spans="1:23" s="4" customFormat="1" ht="16.899999999999999" customHeight="1">
      <c r="A256" s="47"/>
      <c r="B256" s="12" t="str">
        <f>données!$B13</f>
        <v>emprunt 4</v>
      </c>
      <c r="C256" s="192">
        <v>0</v>
      </c>
      <c r="D256" s="2">
        <v>0</v>
      </c>
      <c r="E256" s="2">
        <v>0</v>
      </c>
      <c r="F256" s="10">
        <f>IF(F$244-YEAR(dateE4)=DuréeE4,montantE4-SUM(D256:E256),IF(OR(F$244-YEAR(dateE4)&gt;DuréeE4,F$244-YEAR(dateE4)&lt;DifféréE4+1),0,-PPMT(tauxE4,F$244-YEAR(dateE4)-DifféréE4,DuréeE4-DifféréE4,montantE4)-E256)+C256)</f>
        <v>0</v>
      </c>
      <c r="G256" s="10">
        <f>IF(G$244-YEAR(dateE4)=DuréeE4,montantE4-SUM($D256:F256),IF(OR(G$244-YEAR(dateE4)&gt;DuréeE4,G$244-YEAR(dateE4)&lt;DifféréE4+1),0,-PPMT(tauxE4,G$244-YEAR(dateE4)-DifféréE4,DuréeE4-DifféréE4,montantE4)))</f>
        <v>0</v>
      </c>
      <c r="H256" s="10">
        <f>IF(H$244-YEAR(dateE4)=DuréeE4,montantE4-SUM($D256:G256),IF(OR(H$244-YEAR(dateE4)&gt;DuréeE4,H$244-YEAR(dateE4)&lt;DifféréE4+1),0,-PPMT(tauxE4,H$244-YEAR(dateE4)-DifféréE4,DuréeE4-DifféréE4,montantE4)))</f>
        <v>0</v>
      </c>
      <c r="I256" s="10">
        <f>IF(I$244-YEAR(dateE4)=DuréeE4,montantE4-SUM($D256:H256),IF(OR(I$244-YEAR(dateE4)&gt;DuréeE4,I$244-YEAR(dateE4)&lt;DifféréE4+1),0,-PPMT(tauxE4,I$244-YEAR(dateE4)-DifféréE4,DuréeE4-DifféréE4,montantE4)))</f>
        <v>0</v>
      </c>
      <c r="J256" s="10">
        <f>IF(J$244-YEAR(dateE4)=DuréeE4,montantE4-SUM($D256:I256),IF(OR(J$244-YEAR(dateE4)&gt;DuréeE4,J$244-YEAR(dateE4)&lt;DifféréE4+1),0,-PPMT(tauxE4,J$244-YEAR(dateE4)-DifféréE4,DuréeE4-DifféréE4,montantE4)))</f>
        <v>0</v>
      </c>
      <c r="K256" s="10">
        <f>IF(K$244-YEAR(dateE4)=DuréeE4,montantE4-SUM($D256:J256),IF(OR(K$244-YEAR(dateE4)&gt;DuréeE4,K$244-YEAR(dateE4)&lt;DifféréE4+1),0,-PPMT(tauxE4,K$244-YEAR(dateE4)-DifféréE4,DuréeE4-DifféréE4,montantE4)))</f>
        <v>0</v>
      </c>
      <c r="L256" s="10">
        <f>IF(L$244-YEAR(dateE4)=DuréeE4,montantE4-SUM($D256:K256),IF(OR(L$244-YEAR(dateE4)&gt;DuréeE4,L$244-YEAR(dateE4)&lt;DifféréE4+1),0,-PPMT(tauxE4,L$244-YEAR(dateE4)-DifféréE4,DuréeE4-DifféréE4,montantE4)))</f>
        <v>0</v>
      </c>
      <c r="M256" s="10">
        <f>IF(M$244-YEAR(dateE4)=DuréeE4,montantE4-SUM($D256:L256),IF(OR(M$244-YEAR(dateE4)&gt;DuréeE4,M$244-YEAR(dateE4)&lt;DifféréE4+1),0,-PPMT(tauxE4,M$244-YEAR(dateE4)-DifféréE4,DuréeE4-DifféréE4,montantE4)))</f>
        <v>0</v>
      </c>
      <c r="N256" s="10">
        <f>IF(N$244-YEAR(dateE4)=DuréeE4,montantE4-SUM($D256:M256),IF(OR(N$244-YEAR(dateE4)&gt;DuréeE4,N$244-YEAR(dateE4)&lt;DifféréE4+1),0,-PPMT(tauxE4,N$244-YEAR(dateE4)-DifféréE4,DuréeE4-DifféréE4,montantE4)))</f>
        <v>0</v>
      </c>
      <c r="O256" s="10">
        <f>IF(O$244-YEAR(dateE4)=DuréeE4,montantE4-SUM($D256:N256),IF(OR(O$244-YEAR(dateE4)&gt;DuréeE4,O$244-YEAR(dateE4)&lt;DifféréE4+1),0,-PPMT(tauxE4,O$244-YEAR(dateE4)-DifféréE4,DuréeE4-DifféréE4,montantE4)))</f>
        <v>0</v>
      </c>
      <c r="P256" s="10">
        <f>IF(P$244-YEAR(dateE4)=DuréeE4,montantE4-SUM($D256:O256),IF(OR(P$244-YEAR(dateE4)&gt;DuréeE4,P$244-YEAR(dateE4)&lt;DifféréE4+1),0,-PPMT(tauxE4,P$244-YEAR(dateE4)-DifféréE4,DuréeE4-DifféréE4,montantE4)))</f>
        <v>0</v>
      </c>
      <c r="Q256" s="10">
        <f>IF(Q$244-YEAR(dateE4)=DuréeE4,montantE4-SUM($D256:P256),IF(OR(Q$244-YEAR(dateE4)&gt;DuréeE4,Q$244-YEAR(dateE4)&lt;DifféréE4+1),0,-PPMT(tauxE4,Q$244-YEAR(dateE4)-DifféréE4,DuréeE4-DifféréE4,montantE4)))</f>
        <v>0</v>
      </c>
      <c r="R256" s="10">
        <f>IF(R$244-YEAR(dateE4)=DuréeE4,montantE4-SUM($D256:Q256),IF(OR(R$244-YEAR(dateE4)&gt;DuréeE4,R$244-YEAR(dateE4)&lt;DifféréE4+1),0,-PPMT(tauxE4,R$244-YEAR(dateE4)-DifféréE4,DuréeE4-DifféréE4,montantE4)))</f>
        <v>0</v>
      </c>
      <c r="S256" s="10">
        <f>IF(S$244-YEAR(dateE4)=DuréeE4,montantE4-SUM($D256:R256),IF(OR(S$244-YEAR(dateE4)&gt;DuréeE4,S$244-YEAR(dateE4)&lt;DifféréE4+1),0,-PPMT(tauxE4,S$244-YEAR(dateE4)-DifféréE4,DuréeE4-DifféréE4,montantE4)))</f>
        <v>0</v>
      </c>
      <c r="T256" s="10">
        <f>montantE4-SUM(D256:S256)</f>
        <v>0</v>
      </c>
      <c r="U256"/>
      <c r="V256" s="82">
        <f t="shared" si="90"/>
        <v>0</v>
      </c>
      <c r="W256" s="353">
        <v>102</v>
      </c>
    </row>
    <row r="257" spans="1:23" s="4" customFormat="1" ht="16.899999999999999" customHeight="1">
      <c r="A257" s="47"/>
      <c r="B257" s="12" t="str">
        <f>données!$B14</f>
        <v>emprunt 5</v>
      </c>
      <c r="C257" s="192">
        <v>0</v>
      </c>
      <c r="D257" s="2">
        <v>0</v>
      </c>
      <c r="E257" s="2">
        <v>0</v>
      </c>
      <c r="F257" s="10">
        <f>IF(F$244-YEAR(dateE5)=DuréeE5,montantE5-SUM(D257:E257),IF(OR(F$244-YEAR(dateE5)&gt;DuréeE5,F$244-YEAR(dateE5)&lt;DifféréE5+1),0,-PPMT(tauxE5,F$244-YEAR(dateE5)-DifféréE5,DuréeE5-DifféréE5,montantE5)-E257)+C257)</f>
        <v>0</v>
      </c>
      <c r="G257" s="10">
        <f>IF(G$244-YEAR(dateE5)=DuréeE5,montantE5-SUM($D257:F257),IF(OR(G$244-YEAR(dateE5)&gt;DuréeE5,G$244-YEAR(dateE5)&lt;DifféréE5+1),0,-PPMT(tauxE5,G$244-YEAR(dateE5)-DifféréE5,DuréeE5-DifféréE5,montantE5)))</f>
        <v>0</v>
      </c>
      <c r="H257" s="10">
        <f>IF(H$244-YEAR(dateE5)=DuréeE5,montantE5-SUM($D257:G257),IF(OR(H$244-YEAR(dateE5)&gt;DuréeE5,H$244-YEAR(dateE5)&lt;DifféréE5+1),0,-PPMT(tauxE5,H$244-YEAR(dateE5)-DifféréE5,DuréeE5-DifféréE5,montantE5)))</f>
        <v>0</v>
      </c>
      <c r="I257" s="10">
        <f>IF(I$244-YEAR(dateE5)=DuréeE5,montantE5-SUM($D257:H257),IF(OR(I$244-YEAR(dateE5)&gt;DuréeE5,I$244-YEAR(dateE5)&lt;DifféréE5+1),0,-PPMT(tauxE5,I$244-YEAR(dateE5)-DifféréE5,DuréeE5-DifféréE5,montantE5)))</f>
        <v>0</v>
      </c>
      <c r="J257" s="10">
        <f>IF(J$244-YEAR(dateE5)=DuréeE5,montantE5-SUM($D257:I257),IF(OR(J$244-YEAR(dateE5)&gt;DuréeE5,J$244-YEAR(dateE5)&lt;DifféréE5+1),0,-PPMT(tauxE5,J$244-YEAR(dateE5)-DifféréE5,DuréeE5-DifféréE5,montantE5)))</f>
        <v>0</v>
      </c>
      <c r="K257" s="10">
        <f>IF(K$244-YEAR(dateE5)=DuréeE5,montantE5-SUM($D257:J257),IF(OR(K$244-YEAR(dateE5)&gt;DuréeE5,K$244-YEAR(dateE5)&lt;DifféréE5+1),0,-PPMT(tauxE5,K$244-YEAR(dateE5)-DifféréE5,DuréeE5-DifféréE5,montantE5)))</f>
        <v>0</v>
      </c>
      <c r="L257" s="10">
        <f>IF(L$244-YEAR(dateE5)=DuréeE5,montantE5-SUM($D257:K257),IF(OR(L$244-YEAR(dateE5)&gt;DuréeE5,L$244-YEAR(dateE5)&lt;DifféréE5+1),0,-PPMT(tauxE5,L$244-YEAR(dateE5)-DifféréE5,DuréeE5-DifféréE5,montantE5)))</f>
        <v>0</v>
      </c>
      <c r="M257" s="10">
        <f>IF(M$244-YEAR(dateE5)=DuréeE5,montantE5-SUM($D257:L257),IF(OR(M$244-YEAR(dateE5)&gt;DuréeE5,M$244-YEAR(dateE5)&lt;DifféréE5+1),0,-PPMT(tauxE5,M$244-YEAR(dateE5)-DifféréE5,DuréeE5-DifféréE5,montantE5)))</f>
        <v>0</v>
      </c>
      <c r="N257" s="10">
        <f>IF(N$244-YEAR(dateE5)=DuréeE5,montantE5-SUM($D257:M257),IF(OR(N$244-YEAR(dateE5)&gt;DuréeE5,N$244-YEAR(dateE5)&lt;DifféréE5+1),0,-PPMT(tauxE5,N$244-YEAR(dateE5)-DifféréE5,DuréeE5-DifféréE5,montantE5)))</f>
        <v>0</v>
      </c>
      <c r="O257" s="10">
        <f>IF(O$244-YEAR(dateE5)=DuréeE5,montantE5-SUM($D257:N257),IF(OR(O$244-YEAR(dateE5)&gt;DuréeE5,O$244-YEAR(dateE5)&lt;DifféréE5+1),0,-PPMT(tauxE5,O$244-YEAR(dateE5)-DifféréE5,DuréeE5-DifféréE5,montantE5)))</f>
        <v>0</v>
      </c>
      <c r="P257" s="10">
        <f>IF(P$244-YEAR(dateE5)=DuréeE5,montantE5-SUM($D257:O257),IF(OR(P$244-YEAR(dateE5)&gt;DuréeE5,P$244-YEAR(dateE5)&lt;DifféréE5+1),0,-PPMT(tauxE5,P$244-YEAR(dateE5)-DifféréE5,DuréeE5-DifféréE5,montantE5)))</f>
        <v>0</v>
      </c>
      <c r="Q257" s="10">
        <f>IF(Q$244-YEAR(dateE5)=DuréeE5,montantE5-SUM($D257:P257),IF(OR(Q$244-YEAR(dateE5)&gt;DuréeE5,Q$244-YEAR(dateE5)&lt;DifféréE5+1),0,-PPMT(tauxE5,Q$244-YEAR(dateE5)-DifféréE5,DuréeE5-DifféréE5,montantE5)))</f>
        <v>0</v>
      </c>
      <c r="R257" s="10">
        <f>IF(R$244-YEAR(dateE5)=DuréeE5,montantE5-SUM($D257:Q257),IF(OR(R$244-YEAR(dateE5)&gt;DuréeE5,R$244-YEAR(dateE5)&lt;DifféréE5+1),0,-PPMT(tauxE5,R$244-YEAR(dateE5)-DifféréE5,DuréeE5-DifféréE5,montantE5)))</f>
        <v>0</v>
      </c>
      <c r="S257" s="10">
        <f>IF(S$244-YEAR(dateE5)=DuréeE5,montantE5-SUM($D257:R257),IF(OR(S$244-YEAR(dateE5)&gt;DuréeE5,S$244-YEAR(dateE5)&lt;DifféréE5+1),0,-PPMT(tauxE5,S$244-YEAR(dateE5)-DifféréE5,DuréeE5-DifféréE5,montantE5)))</f>
        <v>0</v>
      </c>
      <c r="T257" s="10">
        <f>montantE5-SUM(D257:S257)</f>
        <v>0</v>
      </c>
      <c r="U257"/>
      <c r="V257" s="82">
        <f t="shared" si="90"/>
        <v>0</v>
      </c>
      <c r="W257" s="353">
        <v>102</v>
      </c>
    </row>
    <row r="258" spans="1:23" s="4" customFormat="1" ht="16.899999999999999" customHeight="1">
      <c r="A258" s="47"/>
      <c r="B258" s="12" t="str">
        <f>données!$B15</f>
        <v>emprunt 6</v>
      </c>
      <c r="C258" s="192">
        <v>0</v>
      </c>
      <c r="D258" s="2">
        <v>0</v>
      </c>
      <c r="E258" s="2">
        <v>0</v>
      </c>
      <c r="F258" s="10">
        <f>IF(F$244-YEAR(dateE6)=DuréeE6,montantE6-SUM(D258:E258),IF(OR(F$244-YEAR(dateE6)&gt;DuréeE6,F$244-YEAR(dateE6)&lt;DifféréE6+1),0,-PPMT(tauxE6,F$244-YEAR(dateE6)-DifféréE6,DuréeE6-DifféréE6,montantE6)-E258)+C258)</f>
        <v>0</v>
      </c>
      <c r="G258" s="10">
        <f>IF(G$244-YEAR(dateE6)=DuréeE6,montantE6-SUM($D258:F258),IF(OR(G$244-YEAR(dateE6)&gt;DuréeE6,G$244-YEAR(dateE6)&lt;DifféréE6+1),0,-PPMT(tauxE6,G$244-YEAR(dateE6)-DifféréE6,DuréeE6-DifféréE6,montantE6)))</f>
        <v>0</v>
      </c>
      <c r="H258" s="10">
        <f>IF(H$244-YEAR(dateE6)=DuréeE6,montantE6-SUM($D258:G258),IF(OR(H$244-YEAR(dateE6)&gt;DuréeE6,H$244-YEAR(dateE6)&lt;DifféréE6+1),0,-PPMT(tauxE6,H$244-YEAR(dateE6)-DifféréE6,DuréeE6-DifféréE6,montantE6)))</f>
        <v>0</v>
      </c>
      <c r="I258" s="10">
        <f>IF(I$244-YEAR(dateE6)=DuréeE6,montantE6-SUM($D258:H258),IF(OR(I$244-YEAR(dateE6)&gt;DuréeE6,I$244-YEAR(dateE6)&lt;DifféréE6+1),0,-PPMT(tauxE6,I$244-YEAR(dateE6)-DifféréE6,DuréeE6-DifféréE6,montantE6)))</f>
        <v>0</v>
      </c>
      <c r="J258" s="10">
        <f>IF(J$244-YEAR(dateE6)=DuréeE6,montantE6-SUM($D258:I258),IF(OR(J$244-YEAR(dateE6)&gt;DuréeE6,J$244-YEAR(dateE6)&lt;DifféréE6+1),0,-PPMT(tauxE6,J$244-YEAR(dateE6)-DifféréE6,DuréeE6-DifféréE6,montantE6)))</f>
        <v>0</v>
      </c>
      <c r="K258" s="10">
        <f>IF(K$244-YEAR(dateE6)=DuréeE6,montantE6-SUM($D258:J258),IF(OR(K$244-YEAR(dateE6)&gt;DuréeE6,K$244-YEAR(dateE6)&lt;DifféréE6+1),0,-PPMT(tauxE6,K$244-YEAR(dateE6)-DifféréE6,DuréeE6-DifféréE6,montantE6)))</f>
        <v>0</v>
      </c>
      <c r="L258" s="10">
        <f>IF(L$244-YEAR(dateE6)=DuréeE6,montantE6-SUM($D258:K258),IF(OR(L$244-YEAR(dateE6)&gt;DuréeE6,L$244-YEAR(dateE6)&lt;DifféréE6+1),0,-PPMT(tauxE6,L$244-YEAR(dateE6)-DifféréE6,DuréeE6-DifféréE6,montantE6)))</f>
        <v>0</v>
      </c>
      <c r="M258" s="10">
        <f>IF(M$244-YEAR(dateE6)=DuréeE6,montantE6-SUM($D258:L258),IF(OR(M$244-YEAR(dateE6)&gt;DuréeE6,M$244-YEAR(dateE6)&lt;DifféréE6+1),0,-PPMT(tauxE6,M$244-YEAR(dateE6)-DifféréE6,DuréeE6-DifféréE6,montantE6)))</f>
        <v>0</v>
      </c>
      <c r="N258" s="10">
        <f>IF(N$244-YEAR(dateE6)=DuréeE6,montantE6-SUM($D258:M258),IF(OR(N$244-YEAR(dateE6)&gt;DuréeE6,N$244-YEAR(dateE6)&lt;DifféréE6+1),0,-PPMT(tauxE6,N$244-YEAR(dateE6)-DifféréE6,DuréeE6-DifféréE6,montantE6)))</f>
        <v>0</v>
      </c>
      <c r="O258" s="10">
        <f>IF(O$244-YEAR(dateE6)=DuréeE6,montantE6-SUM($D258:N258),IF(OR(O$244-YEAR(dateE6)&gt;DuréeE6,O$244-YEAR(dateE6)&lt;DifféréE6+1),0,-PPMT(tauxE6,O$244-YEAR(dateE6)-DifféréE6,DuréeE6-DifféréE6,montantE6)))</f>
        <v>0</v>
      </c>
      <c r="P258" s="10">
        <f>IF(P$244-YEAR(dateE6)=DuréeE6,montantE6-SUM($D258:O258),IF(OR(P$244-YEAR(dateE6)&gt;DuréeE6,P$244-YEAR(dateE6)&lt;DifféréE6+1),0,-PPMT(tauxE6,P$244-YEAR(dateE6)-DifféréE6,DuréeE6-DifféréE6,montantE6)))</f>
        <v>0</v>
      </c>
      <c r="Q258" s="10">
        <f>IF(Q$244-YEAR(dateE6)=DuréeE6,montantE6-SUM($D258:P258),IF(OR(Q$244-YEAR(dateE6)&gt;DuréeE6,Q$244-YEAR(dateE6)&lt;DifféréE6+1),0,-PPMT(tauxE6,Q$244-YEAR(dateE6)-DifféréE6,DuréeE6-DifféréE6,montantE6)))</f>
        <v>0</v>
      </c>
      <c r="R258" s="10">
        <f>IF(R$244-YEAR(dateE6)=DuréeE6,montantE6-SUM($D258:Q258),IF(OR(R$244-YEAR(dateE6)&gt;DuréeE6,R$244-YEAR(dateE6)&lt;DifféréE6+1),0,-PPMT(tauxE6,R$244-YEAR(dateE6)-DifféréE6,DuréeE6-DifféréE6,montantE6)))</f>
        <v>0</v>
      </c>
      <c r="S258" s="10">
        <f>IF(S$244-YEAR(dateE6)=DuréeE6,montantE6-SUM($D258:R258),IF(OR(S$244-YEAR(dateE6)&gt;DuréeE6,S$244-YEAR(dateE6)&lt;DifféréE6+1),0,-PPMT(tauxE6,S$244-YEAR(dateE6)-DifféréE6,DuréeE6-DifféréE6,montantE6)))</f>
        <v>0</v>
      </c>
      <c r="T258" s="10">
        <f>montantE6-SUM(D258:S258)</f>
        <v>0</v>
      </c>
      <c r="U258"/>
      <c r="V258" s="82">
        <f t="shared" si="90"/>
        <v>0</v>
      </c>
      <c r="W258" s="353">
        <v>102</v>
      </c>
    </row>
    <row r="259" spans="1:23" s="4" customFormat="1" ht="16.899999999999999" customHeight="1">
      <c r="A259" s="47"/>
      <c r="B259" s="12" t="str">
        <f>données!$B16</f>
        <v>emprunt 7</v>
      </c>
      <c r="C259" s="192">
        <v>0</v>
      </c>
      <c r="D259" s="2">
        <v>0</v>
      </c>
      <c r="E259" s="2">
        <v>0</v>
      </c>
      <c r="F259" s="10">
        <f>IF(F$244-YEAR(dateE7)=DuréeE7,montantE7-SUM(D259:E259),IF(OR(F$244-YEAR(dateE7)&gt;DuréeE7,F$244-YEAR(dateE7)&lt;DifféréE7+1),0,-PPMT(tauxE7,F$244-YEAR(dateE7)-DifféréE7,DuréeE7-DifféréE7,montantE7)-E259)+C259)</f>
        <v>0</v>
      </c>
      <c r="G259" s="10">
        <f>IF(G$244-YEAR(dateE7)=DuréeE7,montantE7-SUM($D259:F259),IF(OR(G$244-YEAR(dateE7)&gt;DuréeE7,G$244-YEAR(dateE7)&lt;DifféréE7+1),0,-PPMT(tauxE7,G$244-YEAR(dateE7)-DifféréE7,DuréeE7-DifféréE7,montantE7)))</f>
        <v>0</v>
      </c>
      <c r="H259" s="10">
        <f>IF(H$244-YEAR(dateE7)=DuréeE7,montantE7-SUM($D259:G259),IF(OR(H$244-YEAR(dateE7)&gt;DuréeE7,H$244-YEAR(dateE7)&lt;DifféréE7+1),0,-PPMT(tauxE7,H$244-YEAR(dateE7)-DifféréE7,DuréeE7-DifféréE7,montantE7)))</f>
        <v>0</v>
      </c>
      <c r="I259" s="10">
        <f>IF(I$244-YEAR(dateE7)=DuréeE7,montantE7-SUM($D259:H259),IF(OR(I$244-YEAR(dateE7)&gt;DuréeE7,I$244-YEAR(dateE7)&lt;DifféréE7+1),0,-PPMT(tauxE7,I$244-YEAR(dateE7)-DifféréE7,DuréeE7-DifféréE7,montantE7)))</f>
        <v>0</v>
      </c>
      <c r="J259" s="10">
        <f>IF(J$244-YEAR(dateE7)=DuréeE7,montantE7-SUM($D259:I259),IF(OR(J$244-YEAR(dateE7)&gt;DuréeE7,J$244-YEAR(dateE7)&lt;DifféréE7+1),0,-PPMT(tauxE7,J$244-YEAR(dateE7)-DifféréE7,DuréeE7-DifféréE7,montantE7)))</f>
        <v>0</v>
      </c>
      <c r="K259" s="10">
        <f>IF(K$244-YEAR(dateE7)=DuréeE7,montantE7-SUM($D259:J259),IF(OR(K$244-YEAR(dateE7)&gt;DuréeE7,K$244-YEAR(dateE7)&lt;DifféréE7+1),0,-PPMT(tauxE7,K$244-YEAR(dateE7)-DifféréE7,DuréeE7-DifféréE7,montantE7)))</f>
        <v>0</v>
      </c>
      <c r="L259" s="10">
        <f>IF(L$244-YEAR(dateE7)=DuréeE7,montantE7-SUM($D259:K259),IF(OR(L$244-YEAR(dateE7)&gt;DuréeE7,L$244-YEAR(dateE7)&lt;DifféréE7+1),0,-PPMT(tauxE7,L$244-YEAR(dateE7)-DifféréE7,DuréeE7-DifféréE7,montantE7)))</f>
        <v>0</v>
      </c>
      <c r="M259" s="10">
        <f>IF(M$244-YEAR(dateE7)=DuréeE7,montantE7-SUM($D259:L259),IF(OR(M$244-YEAR(dateE7)&gt;DuréeE7,M$244-YEAR(dateE7)&lt;DifféréE7+1),0,-PPMT(tauxE7,M$244-YEAR(dateE7)-DifféréE7,DuréeE7-DifféréE7,montantE7)))</f>
        <v>0</v>
      </c>
      <c r="N259" s="10">
        <f>IF(N$244-YEAR(dateE7)=DuréeE7,montantE7-SUM($D259:M259),IF(OR(N$244-YEAR(dateE7)&gt;DuréeE7,N$244-YEAR(dateE7)&lt;DifféréE7+1),0,-PPMT(tauxE7,N$244-YEAR(dateE7)-DifféréE7,DuréeE7-DifféréE7,montantE7)))</f>
        <v>0</v>
      </c>
      <c r="O259" s="10">
        <f>IF(O$244-YEAR(dateE7)=DuréeE7,montantE7-SUM($D259:N259),IF(OR(O$244-YEAR(dateE7)&gt;DuréeE7,O$244-YEAR(dateE7)&lt;DifféréE7+1),0,-PPMT(tauxE7,O$244-YEAR(dateE7)-DifféréE7,DuréeE7-DifféréE7,montantE7)))</f>
        <v>0</v>
      </c>
      <c r="P259" s="10">
        <f>IF(P$244-YEAR(dateE7)=DuréeE7,montantE7-SUM($D259:O259),IF(OR(P$244-YEAR(dateE7)&gt;DuréeE7,P$244-YEAR(dateE7)&lt;DifféréE7+1),0,-PPMT(tauxE7,P$244-YEAR(dateE7)-DifféréE7,DuréeE7-DifféréE7,montantE7)))</f>
        <v>0</v>
      </c>
      <c r="Q259" s="10">
        <f>IF(Q$244-YEAR(dateE7)=DuréeE7,montantE7-SUM($D259:P259),IF(OR(Q$244-YEAR(dateE7)&gt;DuréeE7,Q$244-YEAR(dateE7)&lt;DifféréE7+1),0,-PPMT(tauxE7,Q$244-YEAR(dateE7)-DifféréE7,DuréeE7-DifféréE7,montantE7)))</f>
        <v>0</v>
      </c>
      <c r="R259" s="10">
        <f>IF(R$244-YEAR(dateE7)=DuréeE7,montantE7-SUM($D259:Q259),IF(OR(R$244-YEAR(dateE7)&gt;DuréeE7,R$244-YEAR(dateE7)&lt;DifféréE7+1),0,-PPMT(tauxE7,R$244-YEAR(dateE7)-DifféréE7,DuréeE7-DifféréE7,montantE7)))</f>
        <v>0</v>
      </c>
      <c r="S259" s="10">
        <f>IF(S$244-YEAR(dateE7)=DuréeE7,montantE7-SUM($D259:R259),IF(OR(S$244-YEAR(dateE7)&gt;DuréeE7,S$244-YEAR(dateE7)&lt;DifféréE7+1),0,-PPMT(tauxE7,S$244-YEAR(dateE7)-DifféréE7,DuréeE7-DifféréE7,montantE7)))</f>
        <v>0</v>
      </c>
      <c r="T259" s="10">
        <f>montantE7-SUM(D259:S259)</f>
        <v>0</v>
      </c>
      <c r="U259"/>
      <c r="V259" s="82">
        <f>SUM(D259:T259)</f>
        <v>0</v>
      </c>
      <c r="W259" s="353">
        <v>102</v>
      </c>
    </row>
    <row r="260" spans="1:23" s="4" customFormat="1" ht="16.899999999999999" customHeight="1">
      <c r="A260" s="47"/>
      <c r="B260" s="12" t="str">
        <f>données!$B17</f>
        <v>emprunt 8</v>
      </c>
      <c r="C260" s="192">
        <v>0</v>
      </c>
      <c r="D260" s="2">
        <v>0</v>
      </c>
      <c r="E260" s="2">
        <v>0</v>
      </c>
      <c r="F260" s="10">
        <f>IF(F$244-YEAR(dateE8)=duréeE8,montantE8-SUM(D260:E260),IF(OR(F$244-YEAR(dateE8)&gt;duréeE8,F$244-YEAR(dateE8)&lt;DifféréE8+1),0,-PPMT(tauxE8,F$244-YEAR(dateE8)-DifféréE8,duréeE8-DifféréE8,montantE8)-E260)+C260)</f>
        <v>0</v>
      </c>
      <c r="G260" s="10">
        <f>IF(G$244-YEAR(dateE8)=duréeE8,montantE8-SUM($D260:F260),IF(OR(G$244-YEAR(dateE8)&gt;duréeE8,G$244-YEAR(dateE8)&lt;DifféréE8+1),0,-PPMT(tauxE8,G$244-YEAR(dateE8)-DifféréE8,duréeE8-DifféréE8,montantE8)))</f>
        <v>0</v>
      </c>
      <c r="H260" s="10">
        <f>IF(H$244-YEAR(dateE8)=duréeE8,montantE8-SUM($D260:G260),IF(OR(H$244-YEAR(dateE8)&gt;duréeE8,H$244-YEAR(dateE8)&lt;DifféréE8+1),0,-PPMT(tauxE8,H$244-YEAR(dateE8)-DifféréE8,duréeE8-DifféréE8,montantE8)))</f>
        <v>0</v>
      </c>
      <c r="I260" s="10">
        <f>IF(I$244-YEAR(dateE8)=duréeE8,montantE8-SUM($D260:H260),IF(OR(I$244-YEAR(dateE8)&gt;duréeE8,I$244-YEAR(dateE8)&lt;DifféréE8+1),0,-PPMT(tauxE8,I$244-YEAR(dateE8)-DifféréE8,duréeE8-DifféréE8,montantE8)))</f>
        <v>0</v>
      </c>
      <c r="J260" s="10">
        <f>IF(J$244-YEAR(dateE8)=duréeE8,montantE8-SUM($D260:I260),IF(OR(J$244-YEAR(dateE8)&gt;duréeE8,J$244-YEAR(dateE8)&lt;DifféréE8+1),0,-PPMT(tauxE8,J$244-YEAR(dateE8)-DifféréE8,duréeE8-DifféréE8,montantE8)))</f>
        <v>0</v>
      </c>
      <c r="K260" s="10">
        <f>IF(K$244-YEAR(dateE8)=duréeE8,montantE8-SUM($D260:J260),IF(OR(K$244-YEAR(dateE8)&gt;duréeE8,K$244-YEAR(dateE8)&lt;DifféréE8+1),0,-PPMT(tauxE8,K$244-YEAR(dateE8)-DifféréE8,duréeE8-DifféréE8,montantE8)))</f>
        <v>0</v>
      </c>
      <c r="L260" s="10">
        <f>IF(L$244-YEAR(dateE8)=duréeE8,montantE8-SUM($D260:K260),IF(OR(L$244-YEAR(dateE8)&gt;duréeE8,L$244-YEAR(dateE8)&lt;DifféréE8+1),0,-PPMT(tauxE8,L$244-YEAR(dateE8)-DifféréE8,duréeE8-DifféréE8,montantE8)))</f>
        <v>0</v>
      </c>
      <c r="M260" s="10">
        <f>IF(M$244-YEAR(dateE8)=duréeE8,montantE8-SUM($D260:L260),IF(OR(M$244-YEAR(dateE8)&gt;duréeE8,M$244-YEAR(dateE8)&lt;DifféréE8+1),0,-PPMT(tauxE8,M$244-YEAR(dateE8)-DifféréE8,duréeE8-DifféréE8,montantE8)))</f>
        <v>0</v>
      </c>
      <c r="N260" s="10">
        <f>IF(N$244-YEAR(dateE8)=duréeE8,montantE8-SUM($D260:M260),IF(OR(N$244-YEAR(dateE8)&gt;duréeE8,N$244-YEAR(dateE8)&lt;DifféréE8+1),0,-PPMT(tauxE8,N$244-YEAR(dateE8)-DifféréE8,duréeE8-DifféréE8,montantE8)))</f>
        <v>0</v>
      </c>
      <c r="O260" s="10">
        <f>IF(O$244-YEAR(dateE8)=duréeE8,montantE8-SUM($D260:N260),IF(OR(O$244-YEAR(dateE8)&gt;duréeE8,O$244-YEAR(dateE8)&lt;DifféréE8+1),0,-PPMT(tauxE8,O$244-YEAR(dateE8)-DifféréE8,duréeE8-DifféréE8,montantE8)))</f>
        <v>0</v>
      </c>
      <c r="P260" s="10">
        <f>IF(P$244-YEAR(dateE8)=duréeE8,montantE8-SUM($D260:O260),IF(OR(P$244-YEAR(dateE8)&gt;duréeE8,P$244-YEAR(dateE8)&lt;DifféréE8+1),0,-PPMT(tauxE8,P$244-YEAR(dateE8)-DifféréE8,duréeE8-DifféréE8,montantE8)))</f>
        <v>0</v>
      </c>
      <c r="Q260" s="10">
        <f>IF(Q$244-YEAR(dateE8)=duréeE8,montantE8-SUM($D260:P260),IF(OR(Q$244-YEAR(dateE8)&gt;duréeE8,Q$244-YEAR(dateE8)&lt;DifféréE8+1),0,-PPMT(tauxE8,Q$244-YEAR(dateE8)-DifféréE8,duréeE8-DifféréE8,montantE8)))</f>
        <v>0</v>
      </c>
      <c r="R260" s="10">
        <f>IF(R$244-YEAR(dateE8)=duréeE8,montantE8-SUM($D260:Q260),IF(OR(R$244-YEAR(dateE8)&gt;duréeE8,R$244-YEAR(dateE8)&lt;DifféréE8+1),0,-PPMT(tauxE8,R$244-YEAR(dateE8)-DifféréE8,duréeE8-DifféréE8,montantE8)))</f>
        <v>0</v>
      </c>
      <c r="S260" s="10">
        <f>IF(S$244-YEAR(dateE8)=duréeE8,montantE8-SUM($D260:R260),IF(OR(S$244-YEAR(dateE8)&gt;duréeE8,S$244-YEAR(dateE8)&lt;DifféréE8+1),0,-PPMT(tauxE8,S$244-YEAR(dateE8)-DifféréE8,duréeE8-DifféréE8,montantE8)))</f>
        <v>0</v>
      </c>
      <c r="T260" s="10">
        <f>montantE8-SUM(D260:S260)</f>
        <v>0</v>
      </c>
      <c r="U260"/>
      <c r="V260" s="82">
        <f>SUM(D260:T260)</f>
        <v>0</v>
      </c>
      <c r="W260" s="353">
        <v>102</v>
      </c>
    </row>
    <row r="261" spans="1:23" s="4" customFormat="1" ht="16.899999999999999" customHeight="1">
      <c r="A261" s="7"/>
      <c r="B261" s="8"/>
      <c r="C261" s="75" t="s">
        <v>18</v>
      </c>
      <c r="D261" s="73">
        <f>SUM(D253:D260)</f>
        <v>0</v>
      </c>
      <c r="E261" s="73">
        <f t="shared" ref="E261:T261" si="91">SUM(E253:E260)</f>
        <v>0</v>
      </c>
      <c r="F261" s="73">
        <f t="shared" si="91"/>
        <v>0</v>
      </c>
      <c r="G261" s="73">
        <f t="shared" si="91"/>
        <v>0</v>
      </c>
      <c r="H261" s="73">
        <f t="shared" si="91"/>
        <v>0</v>
      </c>
      <c r="I261" s="73">
        <f t="shared" si="91"/>
        <v>0</v>
      </c>
      <c r="J261" s="73">
        <f t="shared" si="91"/>
        <v>0</v>
      </c>
      <c r="K261" s="73">
        <f t="shared" si="91"/>
        <v>0</v>
      </c>
      <c r="L261" s="73">
        <f t="shared" si="91"/>
        <v>0</v>
      </c>
      <c r="M261" s="73">
        <f t="shared" si="91"/>
        <v>0</v>
      </c>
      <c r="N261" s="73">
        <f t="shared" si="91"/>
        <v>0</v>
      </c>
      <c r="O261" s="73">
        <f t="shared" si="91"/>
        <v>0</v>
      </c>
      <c r="P261" s="73">
        <f t="shared" si="91"/>
        <v>0</v>
      </c>
      <c r="Q261" s="73">
        <f t="shared" si="91"/>
        <v>0</v>
      </c>
      <c r="R261" s="73">
        <f t="shared" si="91"/>
        <v>0</v>
      </c>
      <c r="S261" s="73">
        <f t="shared" si="91"/>
        <v>0</v>
      </c>
      <c r="T261" s="73">
        <f t="shared" si="91"/>
        <v>0</v>
      </c>
      <c r="U261"/>
      <c r="V261" s="73">
        <f>SUM(V253:V260)</f>
        <v>0</v>
      </c>
      <c r="W261" s="353"/>
    </row>
    <row r="262" spans="1:23" s="4" customFormat="1" ht="16.899999999999999" customHeight="1">
      <c r="A262" s="72" t="s">
        <v>233</v>
      </c>
      <c r="B262" s="71"/>
      <c r="C262" s="9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/>
      <c r="V262" s="82"/>
      <c r="W262" s="353"/>
    </row>
    <row r="263" spans="1:23" s="4" customFormat="1" ht="16.899999999999999" customHeight="1">
      <c r="A263" s="104"/>
      <c r="B263" s="71"/>
      <c r="C263" s="75" t="s">
        <v>18</v>
      </c>
      <c r="D263" s="73">
        <f t="shared" ref="D263:T263" si="92">IF(D241&lt;0,-D241,0)</f>
        <v>14</v>
      </c>
      <c r="E263" s="73">
        <f t="shared" si="92"/>
        <v>0</v>
      </c>
      <c r="F263" s="73">
        <f t="shared" si="92"/>
        <v>21</v>
      </c>
      <c r="G263" s="73">
        <f t="shared" si="92"/>
        <v>0</v>
      </c>
      <c r="H263" s="73">
        <f t="shared" si="92"/>
        <v>2</v>
      </c>
      <c r="I263" s="73">
        <f t="shared" si="92"/>
        <v>22</v>
      </c>
      <c r="J263" s="73">
        <f t="shared" si="92"/>
        <v>0</v>
      </c>
      <c r="K263" s="73">
        <f t="shared" si="92"/>
        <v>0</v>
      </c>
      <c r="L263" s="73">
        <f t="shared" si="92"/>
        <v>291</v>
      </c>
      <c r="M263" s="73">
        <f t="shared" si="92"/>
        <v>0</v>
      </c>
      <c r="N263" s="73">
        <f t="shared" si="92"/>
        <v>0</v>
      </c>
      <c r="O263" s="73">
        <f t="shared" si="92"/>
        <v>0</v>
      </c>
      <c r="P263" s="73">
        <f t="shared" si="92"/>
        <v>0</v>
      </c>
      <c r="Q263" s="73">
        <f t="shared" si="92"/>
        <v>0</v>
      </c>
      <c r="R263" s="73">
        <f t="shared" si="92"/>
        <v>0</v>
      </c>
      <c r="S263" s="73">
        <f t="shared" si="92"/>
        <v>0</v>
      </c>
      <c r="T263" s="73">
        <f t="shared" si="92"/>
        <v>0</v>
      </c>
      <c r="U263"/>
      <c r="V263" s="73">
        <f>SUM(D263:T263)</f>
        <v>350</v>
      </c>
      <c r="W263" s="353"/>
    </row>
    <row r="264" spans="1:23" s="4" customFormat="1" ht="5.0999999999999996" customHeight="1">
      <c r="A264" s="7"/>
      <c r="B264" s="8"/>
      <c r="C264" s="9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/>
      <c r="V264" s="10"/>
      <c r="W264" s="353"/>
    </row>
    <row r="265" spans="1:23" s="4" customFormat="1" ht="16.899999999999999" customHeight="1">
      <c r="A265" s="251"/>
      <c r="B265" s="252"/>
      <c r="C265" s="253" t="s">
        <v>75</v>
      </c>
      <c r="D265" s="262">
        <f t="shared" ref="D265:T265" si="93">SUM(D246,D251,D261,D263)</f>
        <v>4356</v>
      </c>
      <c r="E265" s="262">
        <f t="shared" si="93"/>
        <v>0</v>
      </c>
      <c r="F265" s="262">
        <f t="shared" si="93"/>
        <v>400</v>
      </c>
      <c r="G265" s="262">
        <f t="shared" si="93"/>
        <v>227</v>
      </c>
      <c r="H265" s="262">
        <f t="shared" si="93"/>
        <v>194</v>
      </c>
      <c r="I265" s="262">
        <f t="shared" si="93"/>
        <v>306</v>
      </c>
      <c r="J265" s="262">
        <f t="shared" si="93"/>
        <v>65</v>
      </c>
      <c r="K265" s="262">
        <f t="shared" si="93"/>
        <v>40</v>
      </c>
      <c r="L265" s="262">
        <f t="shared" si="93"/>
        <v>2063</v>
      </c>
      <c r="M265" s="262">
        <f t="shared" si="93"/>
        <v>44</v>
      </c>
      <c r="N265" s="262">
        <f t="shared" si="93"/>
        <v>41</v>
      </c>
      <c r="O265" s="262">
        <f t="shared" si="93"/>
        <v>40</v>
      </c>
      <c r="P265" s="262">
        <f t="shared" si="93"/>
        <v>40</v>
      </c>
      <c r="Q265" s="262">
        <f t="shared" si="93"/>
        <v>0</v>
      </c>
      <c r="R265" s="262">
        <f t="shared" si="93"/>
        <v>2000</v>
      </c>
      <c r="S265" s="262">
        <f t="shared" si="93"/>
        <v>34</v>
      </c>
      <c r="T265" s="262">
        <f t="shared" si="93"/>
        <v>0</v>
      </c>
      <c r="U265"/>
      <c r="V265" s="262">
        <f>SUM(V246,V251,V261,V263)</f>
        <v>9850</v>
      </c>
      <c r="W265" s="363"/>
    </row>
    <row r="266" spans="1:23" s="12" customFormat="1" ht="5.0999999999999996" customHeight="1">
      <c r="A266" s="105"/>
      <c r="B266" s="105"/>
      <c r="C266" s="8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/>
      <c r="V266" s="6"/>
      <c r="W266" s="364"/>
    </row>
    <row r="267" spans="1:23" s="4" customFormat="1" ht="16.899999999999999" customHeight="1">
      <c r="A267" s="254" t="s">
        <v>1</v>
      </c>
      <c r="B267" s="255"/>
      <c r="C267" s="256"/>
      <c r="D267" s="219" t="s">
        <v>2</v>
      </c>
      <c r="E267" s="219" t="s">
        <v>2</v>
      </c>
      <c r="F267" s="221" t="s">
        <v>1</v>
      </c>
      <c r="G267" s="221" t="s">
        <v>1</v>
      </c>
      <c r="H267" s="221"/>
      <c r="I267" s="221"/>
      <c r="J267" s="221"/>
      <c r="K267" s="221"/>
      <c r="L267" s="221"/>
      <c r="M267" s="221"/>
      <c r="N267" s="221"/>
      <c r="O267" s="221"/>
      <c r="P267" s="221"/>
      <c r="Q267" s="221"/>
      <c r="R267" s="221"/>
      <c r="S267" s="221"/>
      <c r="T267" s="221"/>
      <c r="U267"/>
      <c r="V267" s="219"/>
      <c r="W267" s="405" t="s">
        <v>177</v>
      </c>
    </row>
    <row r="268" spans="1:23" s="4" customFormat="1" ht="16.899999999999999" customHeight="1">
      <c r="A268" s="257" t="s">
        <v>76</v>
      </c>
      <c r="B268" s="258"/>
      <c r="C268" s="263"/>
      <c r="D268" s="237" t="s">
        <v>4</v>
      </c>
      <c r="E268" s="237" t="s">
        <v>5</v>
      </c>
      <c r="F268" s="238">
        <f t="shared" ref="F268:T268" si="94">F5</f>
        <v>2012</v>
      </c>
      <c r="G268" s="238">
        <f t="shared" si="94"/>
        <v>2013</v>
      </c>
      <c r="H268" s="238">
        <f t="shared" si="94"/>
        <v>2014</v>
      </c>
      <c r="I268" s="238">
        <f t="shared" si="94"/>
        <v>2015</v>
      </c>
      <c r="J268" s="238">
        <f t="shared" si="94"/>
        <v>2016</v>
      </c>
      <c r="K268" s="238">
        <f t="shared" si="94"/>
        <v>2017</v>
      </c>
      <c r="L268" s="238">
        <f t="shared" si="94"/>
        <v>2018</v>
      </c>
      <c r="M268" s="238">
        <f t="shared" si="94"/>
        <v>2019</v>
      </c>
      <c r="N268" s="238">
        <f t="shared" si="94"/>
        <v>2020</v>
      </c>
      <c r="O268" s="238">
        <f t="shared" si="94"/>
        <v>2021</v>
      </c>
      <c r="P268" s="238">
        <f t="shared" si="94"/>
        <v>2022</v>
      </c>
      <c r="Q268" s="238">
        <f t="shared" si="94"/>
        <v>2023</v>
      </c>
      <c r="R268" s="238">
        <f t="shared" si="94"/>
        <v>2024</v>
      </c>
      <c r="S268" s="238">
        <f t="shared" si="94"/>
        <v>2025</v>
      </c>
      <c r="T268" s="238">
        <f t="shared" si="94"/>
        <v>2026</v>
      </c>
      <c r="U268"/>
      <c r="V268" s="239" t="s">
        <v>6</v>
      </c>
      <c r="W268" s="406"/>
    </row>
    <row r="269" spans="1:23" s="4" customFormat="1" ht="15">
      <c r="A269" s="260"/>
      <c r="B269" s="261"/>
      <c r="C269" s="240" t="str">
        <f>$C$6</f>
        <v>K€ HT</v>
      </c>
      <c r="D269" s="232">
        <f>D6</f>
        <v>2011</v>
      </c>
      <c r="E269" s="346">
        <f>E6</f>
        <v>39446</v>
      </c>
      <c r="F269" s="233"/>
      <c r="G269" s="233"/>
      <c r="H269" s="233"/>
      <c r="I269" s="233"/>
      <c r="J269" s="233"/>
      <c r="K269" s="233"/>
      <c r="L269" s="233"/>
      <c r="M269" s="233"/>
      <c r="N269" s="233"/>
      <c r="O269" s="233"/>
      <c r="P269" s="233"/>
      <c r="Q269" s="233"/>
      <c r="R269" s="233"/>
      <c r="S269" s="233"/>
      <c r="T269" s="233"/>
      <c r="U269"/>
      <c r="V269" s="250"/>
      <c r="W269" s="407"/>
    </row>
    <row r="270" spans="1:23" s="4" customFormat="1" ht="15">
      <c r="A270" s="101" t="s">
        <v>77</v>
      </c>
      <c r="B270" s="106"/>
      <c r="C270" s="107"/>
      <c r="D270" s="73">
        <f t="shared" ref="D270:T270" si="95">D218</f>
        <v>0</v>
      </c>
      <c r="E270" s="73">
        <f t="shared" si="95"/>
        <v>0</v>
      </c>
      <c r="F270" s="73">
        <f t="shared" si="95"/>
        <v>0</v>
      </c>
      <c r="G270" s="73">
        <f t="shared" si="95"/>
        <v>840</v>
      </c>
      <c r="H270" s="73">
        <f t="shared" si="95"/>
        <v>740</v>
      </c>
      <c r="I270" s="73">
        <f t="shared" si="95"/>
        <v>740</v>
      </c>
      <c r="J270" s="73">
        <f t="shared" si="95"/>
        <v>740</v>
      </c>
      <c r="K270" s="73">
        <f t="shared" si="95"/>
        <v>740</v>
      </c>
      <c r="L270" s="73">
        <f t="shared" si="95"/>
        <v>740</v>
      </c>
      <c r="M270" s="73">
        <f t="shared" si="95"/>
        <v>740</v>
      </c>
      <c r="N270" s="73">
        <f t="shared" si="95"/>
        <v>740</v>
      </c>
      <c r="O270" s="73">
        <f t="shared" si="95"/>
        <v>740</v>
      </c>
      <c r="P270" s="73">
        <f t="shared" si="95"/>
        <v>740</v>
      </c>
      <c r="Q270" s="73">
        <f t="shared" si="95"/>
        <v>0</v>
      </c>
      <c r="R270" s="73">
        <f t="shared" si="95"/>
        <v>0</v>
      </c>
      <c r="S270" s="73">
        <f t="shared" si="95"/>
        <v>0</v>
      </c>
      <c r="T270" s="73">
        <f t="shared" si="95"/>
        <v>0</v>
      </c>
      <c r="U270"/>
      <c r="V270" s="73">
        <f>SUM(D270:T270)</f>
        <v>7500</v>
      </c>
      <c r="W270" s="352"/>
    </row>
    <row r="271" spans="1:23" s="4" customFormat="1" ht="15">
      <c r="A271" s="104" t="s">
        <v>78</v>
      </c>
      <c r="B271" s="71"/>
      <c r="C271" s="16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/>
      <c r="V271" s="82"/>
      <c r="W271" s="353"/>
    </row>
    <row r="272" spans="1:23" s="4" customFormat="1" ht="15">
      <c r="A272" s="129"/>
      <c r="B272" s="125" t="s">
        <v>79</v>
      </c>
      <c r="C272" s="130"/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/>
      <c r="V272" s="82">
        <f>SUM(D272:T272)</f>
        <v>0</v>
      </c>
      <c r="W272" s="353">
        <v>201</v>
      </c>
    </row>
    <row r="273" spans="1:23" s="4" customFormat="1" ht="15">
      <c r="A273" s="129"/>
      <c r="B273" s="125" t="s">
        <v>80</v>
      </c>
      <c r="C273" s="130"/>
      <c r="D273" s="2">
        <v>0</v>
      </c>
      <c r="E273" s="2">
        <v>0</v>
      </c>
      <c r="F273" s="2">
        <v>2000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/>
      <c r="V273" s="82">
        <f>SUM(D273:T273)</f>
        <v>2000</v>
      </c>
      <c r="W273" s="353">
        <v>201</v>
      </c>
    </row>
    <row r="274" spans="1:23" s="4" customFormat="1" ht="15">
      <c r="A274" s="129"/>
      <c r="B274" s="125" t="s">
        <v>171</v>
      </c>
      <c r="C274" s="130"/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/>
      <c r="V274" s="82">
        <f>SUM(D274:T274)</f>
        <v>0</v>
      </c>
      <c r="W274" s="353">
        <v>201</v>
      </c>
    </row>
    <row r="275" spans="1:23" s="4" customFormat="1" ht="15">
      <c r="A275" s="104"/>
      <c r="B275" s="71"/>
      <c r="C275" s="75" t="s">
        <v>18</v>
      </c>
      <c r="D275" s="73">
        <f t="shared" ref="D275:I275" si="96">SUM(D271:D274)</f>
        <v>0</v>
      </c>
      <c r="E275" s="73">
        <f t="shared" si="96"/>
        <v>0</v>
      </c>
      <c r="F275" s="73">
        <f t="shared" si="96"/>
        <v>2000</v>
      </c>
      <c r="G275" s="73">
        <f t="shared" si="96"/>
        <v>0</v>
      </c>
      <c r="H275" s="73">
        <f t="shared" si="96"/>
        <v>0</v>
      </c>
      <c r="I275" s="73">
        <f t="shared" si="96"/>
        <v>0</v>
      </c>
      <c r="J275" s="73">
        <f t="shared" ref="J275:O275" si="97">SUM(J271:J274)</f>
        <v>0</v>
      </c>
      <c r="K275" s="73">
        <f t="shared" si="97"/>
        <v>0</v>
      </c>
      <c r="L275" s="73">
        <f t="shared" si="97"/>
        <v>0</v>
      </c>
      <c r="M275" s="73">
        <f t="shared" si="97"/>
        <v>0</v>
      </c>
      <c r="N275" s="73">
        <f t="shared" si="97"/>
        <v>0</v>
      </c>
      <c r="O275" s="73">
        <f t="shared" si="97"/>
        <v>0</v>
      </c>
      <c r="P275" s="73">
        <f>SUM(P271:P274)</f>
        <v>0</v>
      </c>
      <c r="Q275" s="73">
        <f>SUM(Q271:Q274)</f>
        <v>0</v>
      </c>
      <c r="R275" s="73">
        <f>SUM(R271:R274)</f>
        <v>0</v>
      </c>
      <c r="S275" s="73">
        <f>SUM(S271:S274)</f>
        <v>0</v>
      </c>
      <c r="T275" s="73">
        <f>SUM(T271:T274)</f>
        <v>0</v>
      </c>
      <c r="U275"/>
      <c r="V275" s="73">
        <f>SUM(V271:V274)</f>
        <v>2000</v>
      </c>
      <c r="W275" s="353"/>
    </row>
    <row r="276" spans="1:23" s="4" customFormat="1" ht="15">
      <c r="A276" s="104" t="s">
        <v>81</v>
      </c>
      <c r="B276" s="71"/>
      <c r="C276" s="16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/>
      <c r="V276" s="82"/>
      <c r="W276" s="353"/>
    </row>
    <row r="277" spans="1:23" s="4" customFormat="1" ht="15">
      <c r="A277" s="47"/>
      <c r="B277" s="12" t="str">
        <f>données!$B$10</f>
        <v>emprunt 1</v>
      </c>
      <c r="C277" s="16"/>
      <c r="D277" s="10">
        <f>IF(YEAR(dateE1)&gt;$D$269,0,montantE1)</f>
        <v>0</v>
      </c>
      <c r="E277" s="10">
        <f>IF(YEAR(dateE1)&gt;$D$269,IF(dateE1&gt;$E$269,0,montantE1),0)</f>
        <v>0</v>
      </c>
      <c r="F277" s="10">
        <f>IF(AND(dateE1&gt;$E$269,YEAR(dateE1)&lt;G$268),montantE1,0)</f>
        <v>0</v>
      </c>
      <c r="G277" s="10">
        <f t="shared" ref="G277:T277" si="98">IF(YEAR(dateE1)=G$268,montantE1,0)</f>
        <v>0</v>
      </c>
      <c r="H277" s="10">
        <f t="shared" si="98"/>
        <v>0</v>
      </c>
      <c r="I277" s="10">
        <f t="shared" si="98"/>
        <v>0</v>
      </c>
      <c r="J277" s="10">
        <f t="shared" si="98"/>
        <v>0</v>
      </c>
      <c r="K277" s="10">
        <f t="shared" si="98"/>
        <v>0</v>
      </c>
      <c r="L277" s="10">
        <f t="shared" si="98"/>
        <v>0</v>
      </c>
      <c r="M277" s="10">
        <f t="shared" si="98"/>
        <v>0</v>
      </c>
      <c r="N277" s="10">
        <f t="shared" si="98"/>
        <v>0</v>
      </c>
      <c r="O277" s="10">
        <f t="shared" si="98"/>
        <v>0</v>
      </c>
      <c r="P277" s="10">
        <f t="shared" si="98"/>
        <v>0</v>
      </c>
      <c r="Q277" s="10">
        <f t="shared" si="98"/>
        <v>0</v>
      </c>
      <c r="R277" s="10">
        <f t="shared" si="98"/>
        <v>0</v>
      </c>
      <c r="S277" s="10">
        <f t="shared" si="98"/>
        <v>0</v>
      </c>
      <c r="T277" s="10">
        <f t="shared" si="98"/>
        <v>0</v>
      </c>
      <c r="U277"/>
      <c r="V277" s="82">
        <f t="shared" ref="V277:V282" si="99">SUM(D277:T277)</f>
        <v>0</v>
      </c>
      <c r="W277" s="353">
        <v>101</v>
      </c>
    </row>
    <row r="278" spans="1:23" s="4" customFormat="1" ht="15">
      <c r="A278" s="47"/>
      <c r="B278" s="12" t="str">
        <f>données!$B$11</f>
        <v>emprunt 2</v>
      </c>
      <c r="C278" s="16"/>
      <c r="D278" s="10">
        <f>IF(YEAR(dateE2)&gt;$D$269,0,montantE2)</f>
        <v>0</v>
      </c>
      <c r="E278" s="10">
        <f>IF(YEAR(dateE2)&gt;$D$269,IF(dateE2&gt;$E$269,0,montantE2),0)</f>
        <v>0</v>
      </c>
      <c r="F278" s="10">
        <f>IF(AND(dateE2&gt;$E$269,YEAR(dateE2)&lt;G$268),montantE2,0)</f>
        <v>0</v>
      </c>
      <c r="G278" s="10">
        <f t="shared" ref="G278:T278" si="100">IF(YEAR(dateE2)=G$268,montantE2,0)</f>
        <v>0</v>
      </c>
      <c r="H278" s="10">
        <f t="shared" si="100"/>
        <v>0</v>
      </c>
      <c r="I278" s="10">
        <f t="shared" si="100"/>
        <v>0</v>
      </c>
      <c r="J278" s="10">
        <f t="shared" si="100"/>
        <v>0</v>
      </c>
      <c r="K278" s="10">
        <f t="shared" si="100"/>
        <v>0</v>
      </c>
      <c r="L278" s="10">
        <f t="shared" si="100"/>
        <v>0</v>
      </c>
      <c r="M278" s="10">
        <f t="shared" si="100"/>
        <v>0</v>
      </c>
      <c r="N278" s="10">
        <f t="shared" si="100"/>
        <v>0</v>
      </c>
      <c r="O278" s="10">
        <f t="shared" si="100"/>
        <v>0</v>
      </c>
      <c r="P278" s="10">
        <f t="shared" si="100"/>
        <v>0</v>
      </c>
      <c r="Q278" s="10">
        <f t="shared" si="100"/>
        <v>0</v>
      </c>
      <c r="R278" s="10">
        <f t="shared" si="100"/>
        <v>0</v>
      </c>
      <c r="S278" s="10">
        <f t="shared" si="100"/>
        <v>0</v>
      </c>
      <c r="T278" s="10">
        <f t="shared" si="100"/>
        <v>0</v>
      </c>
      <c r="U278"/>
      <c r="V278" s="82">
        <f t="shared" si="99"/>
        <v>0</v>
      </c>
      <c r="W278" s="353">
        <v>101</v>
      </c>
    </row>
    <row r="279" spans="1:23" s="4" customFormat="1" ht="15">
      <c r="A279" s="47"/>
      <c r="B279" s="12" t="str">
        <f>données!$B$12</f>
        <v>emprunt 3</v>
      </c>
      <c r="C279" s="16"/>
      <c r="D279" s="10">
        <f>IF(YEAR(dateE3)&gt;$D$269,0,montantE3)</f>
        <v>0</v>
      </c>
      <c r="E279" s="10">
        <f>IF(YEAR(dateE3)&gt;$D$269,IF(dateE3&gt;$E$269,0,montantE3),0)</f>
        <v>0</v>
      </c>
      <c r="F279" s="10">
        <f>IF(AND(dateE3&gt;$E$269,YEAR(dateE3)&lt;G$268),montantE3,0)</f>
        <v>0</v>
      </c>
      <c r="G279" s="10">
        <f t="shared" ref="G279:T279" si="101">IF(YEAR(dateE3)=G$268,montantE3,0)</f>
        <v>0</v>
      </c>
      <c r="H279" s="10">
        <f t="shared" si="101"/>
        <v>0</v>
      </c>
      <c r="I279" s="10">
        <f t="shared" si="101"/>
        <v>0</v>
      </c>
      <c r="J279" s="10">
        <f t="shared" si="101"/>
        <v>0</v>
      </c>
      <c r="K279" s="10">
        <f t="shared" si="101"/>
        <v>0</v>
      </c>
      <c r="L279" s="10">
        <f t="shared" si="101"/>
        <v>0</v>
      </c>
      <c r="M279" s="10">
        <f t="shared" si="101"/>
        <v>0</v>
      </c>
      <c r="N279" s="10">
        <f t="shared" si="101"/>
        <v>0</v>
      </c>
      <c r="O279" s="10">
        <f t="shared" si="101"/>
        <v>0</v>
      </c>
      <c r="P279" s="10">
        <f t="shared" si="101"/>
        <v>0</v>
      </c>
      <c r="Q279" s="10">
        <f t="shared" si="101"/>
        <v>0</v>
      </c>
      <c r="R279" s="10">
        <f t="shared" si="101"/>
        <v>0</v>
      </c>
      <c r="S279" s="10">
        <f t="shared" si="101"/>
        <v>0</v>
      </c>
      <c r="T279" s="10">
        <f t="shared" si="101"/>
        <v>0</v>
      </c>
      <c r="U279"/>
      <c r="V279" s="82">
        <f t="shared" si="99"/>
        <v>0</v>
      </c>
      <c r="W279" s="353">
        <v>101</v>
      </c>
    </row>
    <row r="280" spans="1:23" s="4" customFormat="1" ht="15">
      <c r="A280" s="47"/>
      <c r="B280" s="12" t="str">
        <f>données!$B13</f>
        <v>emprunt 4</v>
      </c>
      <c r="C280" s="16"/>
      <c r="D280" s="10">
        <f>IF(YEAR(dateE4)&gt;$D$269,0,montantE4)</f>
        <v>0</v>
      </c>
      <c r="E280" s="10">
        <f>IF(YEAR(dateE4)&gt;$D$269,IF(dateE4&gt;$E$269,0,montantE4),0)</f>
        <v>0</v>
      </c>
      <c r="F280" s="10">
        <f>IF(AND(dateE4&gt;$E$269,YEAR(dateE4)&lt;G$268),montantE4,0)</f>
        <v>0</v>
      </c>
      <c r="G280" s="10">
        <f t="shared" ref="G280:T280" si="102">IF(YEAR(dateE4)=G$268,montantE4,0)</f>
        <v>0</v>
      </c>
      <c r="H280" s="10">
        <f t="shared" si="102"/>
        <v>0</v>
      </c>
      <c r="I280" s="10">
        <f t="shared" si="102"/>
        <v>0</v>
      </c>
      <c r="J280" s="10">
        <f t="shared" si="102"/>
        <v>0</v>
      </c>
      <c r="K280" s="10">
        <f t="shared" si="102"/>
        <v>0</v>
      </c>
      <c r="L280" s="10">
        <f t="shared" si="102"/>
        <v>0</v>
      </c>
      <c r="M280" s="10">
        <f t="shared" si="102"/>
        <v>0</v>
      </c>
      <c r="N280" s="10">
        <f t="shared" si="102"/>
        <v>0</v>
      </c>
      <c r="O280" s="10">
        <f t="shared" si="102"/>
        <v>0</v>
      </c>
      <c r="P280" s="10">
        <f t="shared" si="102"/>
        <v>0</v>
      </c>
      <c r="Q280" s="10">
        <f t="shared" si="102"/>
        <v>0</v>
      </c>
      <c r="R280" s="10">
        <f t="shared" si="102"/>
        <v>0</v>
      </c>
      <c r="S280" s="10">
        <f t="shared" si="102"/>
        <v>0</v>
      </c>
      <c r="T280" s="10">
        <f t="shared" si="102"/>
        <v>0</v>
      </c>
      <c r="U280"/>
      <c r="V280" s="82">
        <f t="shared" si="99"/>
        <v>0</v>
      </c>
      <c r="W280" s="353">
        <v>101</v>
      </c>
    </row>
    <row r="281" spans="1:23" s="4" customFormat="1" ht="15">
      <c r="A281" s="47"/>
      <c r="B281" s="12" t="str">
        <f>données!$B14</f>
        <v>emprunt 5</v>
      </c>
      <c r="C281" s="16"/>
      <c r="D281" s="10">
        <f>IF(YEAR(dateE5)&gt;$D$269,0,montantE5)</f>
        <v>0</v>
      </c>
      <c r="E281" s="10">
        <f>IF(YEAR(dateE5)&gt;$D$269,IF(dateE5&gt;$E$269,0,montantE5),0)</f>
        <v>0</v>
      </c>
      <c r="F281" s="10">
        <f>IF(AND(dateE5&gt;$E$269,YEAR(dateE5)&lt;G$268),montantE5,0)</f>
        <v>0</v>
      </c>
      <c r="G281" s="10">
        <f t="shared" ref="G281:T281" si="103">IF(YEAR(dateE5)=G$268,montantE5,0)</f>
        <v>0</v>
      </c>
      <c r="H281" s="10">
        <f t="shared" si="103"/>
        <v>0</v>
      </c>
      <c r="I281" s="10">
        <f t="shared" si="103"/>
        <v>0</v>
      </c>
      <c r="J281" s="10">
        <f t="shared" si="103"/>
        <v>0</v>
      </c>
      <c r="K281" s="10">
        <f t="shared" si="103"/>
        <v>0</v>
      </c>
      <c r="L281" s="10">
        <f t="shared" si="103"/>
        <v>0</v>
      </c>
      <c r="M281" s="10">
        <f t="shared" si="103"/>
        <v>0</v>
      </c>
      <c r="N281" s="10">
        <f t="shared" si="103"/>
        <v>0</v>
      </c>
      <c r="O281" s="10">
        <f t="shared" si="103"/>
        <v>0</v>
      </c>
      <c r="P281" s="10">
        <f t="shared" si="103"/>
        <v>0</v>
      </c>
      <c r="Q281" s="10">
        <f t="shared" si="103"/>
        <v>0</v>
      </c>
      <c r="R281" s="10">
        <f t="shared" si="103"/>
        <v>0</v>
      </c>
      <c r="S281" s="10">
        <f t="shared" si="103"/>
        <v>0</v>
      </c>
      <c r="T281" s="10">
        <f t="shared" si="103"/>
        <v>0</v>
      </c>
      <c r="U281"/>
      <c r="V281" s="82">
        <f t="shared" si="99"/>
        <v>0</v>
      </c>
      <c r="W281" s="353">
        <v>101</v>
      </c>
    </row>
    <row r="282" spans="1:23" s="4" customFormat="1" ht="15">
      <c r="A282" s="47"/>
      <c r="B282" s="12" t="str">
        <f>données!$B15</f>
        <v>emprunt 6</v>
      </c>
      <c r="C282" s="16"/>
      <c r="D282" s="10">
        <f>IF(YEAR(dateE6)&gt;$D$269,0,montantE6)</f>
        <v>0</v>
      </c>
      <c r="E282" s="10">
        <f>IF(YEAR(dateE6)&gt;$D$269,IF(dateE6&gt;$E$269,0,montantE6),0)</f>
        <v>0</v>
      </c>
      <c r="F282" s="10">
        <f>IF(AND(dateE6&gt;$E$269,YEAR(dateE6)&lt;G$268),montantE6,0)</f>
        <v>0</v>
      </c>
      <c r="G282" s="10">
        <f t="shared" ref="G282:T282" si="104">IF(YEAR(dateE6)=G$268,montantE6,0)</f>
        <v>0</v>
      </c>
      <c r="H282" s="10">
        <f t="shared" si="104"/>
        <v>0</v>
      </c>
      <c r="I282" s="10">
        <f t="shared" si="104"/>
        <v>0</v>
      </c>
      <c r="J282" s="10">
        <f t="shared" si="104"/>
        <v>0</v>
      </c>
      <c r="K282" s="10">
        <f t="shared" si="104"/>
        <v>0</v>
      </c>
      <c r="L282" s="10">
        <f t="shared" si="104"/>
        <v>0</v>
      </c>
      <c r="M282" s="10">
        <f t="shared" si="104"/>
        <v>0</v>
      </c>
      <c r="N282" s="10">
        <f t="shared" si="104"/>
        <v>0</v>
      </c>
      <c r="O282" s="10">
        <f t="shared" si="104"/>
        <v>0</v>
      </c>
      <c r="P282" s="10">
        <f t="shared" si="104"/>
        <v>0</v>
      </c>
      <c r="Q282" s="10">
        <f t="shared" si="104"/>
        <v>0</v>
      </c>
      <c r="R282" s="10">
        <f t="shared" si="104"/>
        <v>0</v>
      </c>
      <c r="S282" s="10">
        <f t="shared" si="104"/>
        <v>0</v>
      </c>
      <c r="T282" s="10">
        <f t="shared" si="104"/>
        <v>0</v>
      </c>
      <c r="U282"/>
      <c r="V282" s="82">
        <f t="shared" si="99"/>
        <v>0</v>
      </c>
      <c r="W282" s="353">
        <v>101</v>
      </c>
    </row>
    <row r="283" spans="1:23" s="4" customFormat="1" ht="15">
      <c r="A283" s="47"/>
      <c r="B283" s="12" t="str">
        <f>données!$B16</f>
        <v>emprunt 7</v>
      </c>
      <c r="C283" s="16"/>
      <c r="D283" s="10">
        <f>IF(YEAR(dateE7)&gt;$D$269,0,montantE7)</f>
        <v>0</v>
      </c>
      <c r="E283" s="10">
        <f>IF(YEAR(dateE7)&gt;$D$269,IF(dateE7&gt;$E$269,0,montantE7),0)</f>
        <v>0</v>
      </c>
      <c r="F283" s="10">
        <f>IF(AND(dateE7&gt;$E$269,YEAR(dateE7)&lt;G$268),montantE7,0)</f>
        <v>0</v>
      </c>
      <c r="G283" s="10">
        <f t="shared" ref="G283:T283" si="105">IF(YEAR(dateE7)=G$268,montantE7,0)</f>
        <v>0</v>
      </c>
      <c r="H283" s="10">
        <f t="shared" si="105"/>
        <v>0</v>
      </c>
      <c r="I283" s="10">
        <f t="shared" si="105"/>
        <v>0</v>
      </c>
      <c r="J283" s="10">
        <f t="shared" si="105"/>
        <v>0</v>
      </c>
      <c r="K283" s="10">
        <f t="shared" si="105"/>
        <v>0</v>
      </c>
      <c r="L283" s="10">
        <f t="shared" si="105"/>
        <v>0</v>
      </c>
      <c r="M283" s="10">
        <f t="shared" si="105"/>
        <v>0</v>
      </c>
      <c r="N283" s="10">
        <f t="shared" si="105"/>
        <v>0</v>
      </c>
      <c r="O283" s="10">
        <f t="shared" si="105"/>
        <v>0</v>
      </c>
      <c r="P283" s="10">
        <f t="shared" si="105"/>
        <v>0</v>
      </c>
      <c r="Q283" s="10">
        <f t="shared" si="105"/>
        <v>0</v>
      </c>
      <c r="R283" s="10">
        <f t="shared" si="105"/>
        <v>0</v>
      </c>
      <c r="S283" s="10">
        <f t="shared" si="105"/>
        <v>0</v>
      </c>
      <c r="T283" s="10">
        <f t="shared" si="105"/>
        <v>0</v>
      </c>
      <c r="U283"/>
      <c r="V283" s="82">
        <f>SUM(D283:T283)</f>
        <v>0</v>
      </c>
      <c r="W283" s="353">
        <v>101</v>
      </c>
    </row>
    <row r="284" spans="1:23" s="4" customFormat="1" ht="15">
      <c r="A284" s="47"/>
      <c r="B284" s="12" t="str">
        <f>données!$B17</f>
        <v>emprunt 8</v>
      </c>
      <c r="C284" s="16"/>
      <c r="D284" s="10">
        <f>IF(YEAR(dateE8)&gt;$D$269,0,montantE8)</f>
        <v>0</v>
      </c>
      <c r="E284" s="10">
        <f>IF(YEAR(dateE8)&gt;$D$269,IF(dateE8&gt;$E$269,0,montantE8),0)</f>
        <v>0</v>
      </c>
      <c r="F284" s="10">
        <f>IF(AND(dateE8&gt;$E$269,YEAR(dateE8)&lt;G$268),montantE8,0)</f>
        <v>0</v>
      </c>
      <c r="G284" s="10">
        <f t="shared" ref="G284:T284" si="106">IF(YEAR(dateE8)=G$268,montantE8,0)</f>
        <v>0</v>
      </c>
      <c r="H284" s="10">
        <f t="shared" si="106"/>
        <v>0</v>
      </c>
      <c r="I284" s="10">
        <f t="shared" si="106"/>
        <v>0</v>
      </c>
      <c r="J284" s="10">
        <f t="shared" si="106"/>
        <v>0</v>
      </c>
      <c r="K284" s="10">
        <f t="shared" si="106"/>
        <v>0</v>
      </c>
      <c r="L284" s="10">
        <f t="shared" si="106"/>
        <v>0</v>
      </c>
      <c r="M284" s="10">
        <f t="shared" si="106"/>
        <v>0</v>
      </c>
      <c r="N284" s="10">
        <f t="shared" si="106"/>
        <v>0</v>
      </c>
      <c r="O284" s="10">
        <f t="shared" si="106"/>
        <v>0</v>
      </c>
      <c r="P284" s="10">
        <f t="shared" si="106"/>
        <v>0</v>
      </c>
      <c r="Q284" s="10">
        <f t="shared" si="106"/>
        <v>0</v>
      </c>
      <c r="R284" s="10">
        <f t="shared" si="106"/>
        <v>0</v>
      </c>
      <c r="S284" s="10">
        <f t="shared" si="106"/>
        <v>0</v>
      </c>
      <c r="T284" s="10">
        <f t="shared" si="106"/>
        <v>0</v>
      </c>
      <c r="U284"/>
      <c r="V284" s="82">
        <f>SUM(D284:T284)</f>
        <v>0</v>
      </c>
      <c r="W284" s="353">
        <v>101</v>
      </c>
    </row>
    <row r="285" spans="1:23" s="4" customFormat="1" ht="15">
      <c r="A285" s="17"/>
      <c r="B285" s="30"/>
      <c r="C285" s="75" t="s">
        <v>18</v>
      </c>
      <c r="D285" s="73">
        <f>SUM(D277:D284)</f>
        <v>0</v>
      </c>
      <c r="E285" s="73">
        <f t="shared" ref="E285:T285" si="107">SUM(E277:E284)</f>
        <v>0</v>
      </c>
      <c r="F285" s="73">
        <f t="shared" si="107"/>
        <v>0</v>
      </c>
      <c r="G285" s="73">
        <f t="shared" si="107"/>
        <v>0</v>
      </c>
      <c r="H285" s="73">
        <f t="shared" si="107"/>
        <v>0</v>
      </c>
      <c r="I285" s="73">
        <f t="shared" si="107"/>
        <v>0</v>
      </c>
      <c r="J285" s="73">
        <f t="shared" si="107"/>
        <v>0</v>
      </c>
      <c r="K285" s="73">
        <f t="shared" si="107"/>
        <v>0</v>
      </c>
      <c r="L285" s="73">
        <f t="shared" si="107"/>
        <v>0</v>
      </c>
      <c r="M285" s="73">
        <f t="shared" si="107"/>
        <v>0</v>
      </c>
      <c r="N285" s="73">
        <f t="shared" si="107"/>
        <v>0</v>
      </c>
      <c r="O285" s="73">
        <f t="shared" si="107"/>
        <v>0</v>
      </c>
      <c r="P285" s="73">
        <f t="shared" si="107"/>
        <v>0</v>
      </c>
      <c r="Q285" s="73">
        <f t="shared" si="107"/>
        <v>0</v>
      </c>
      <c r="R285" s="73">
        <f t="shared" si="107"/>
        <v>0</v>
      </c>
      <c r="S285" s="73">
        <f t="shared" si="107"/>
        <v>0</v>
      </c>
      <c r="T285" s="73">
        <f t="shared" si="107"/>
        <v>0</v>
      </c>
      <c r="U285"/>
      <c r="V285" s="73">
        <f>SUM(V277:V284)</f>
        <v>0</v>
      </c>
      <c r="W285" s="353"/>
    </row>
    <row r="286" spans="1:23" s="4" customFormat="1" ht="15">
      <c r="A286" s="72" t="s">
        <v>232</v>
      </c>
      <c r="C286" s="214"/>
      <c r="D286" s="73"/>
      <c r="E286" s="73"/>
      <c r="F286" s="31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/>
      <c r="V286" s="73"/>
      <c r="W286" s="353"/>
    </row>
    <row r="287" spans="1:23" s="74" customFormat="1" ht="15">
      <c r="A287" s="104"/>
      <c r="B287" s="372"/>
      <c r="C287" s="75" t="s">
        <v>18</v>
      </c>
      <c r="D287" s="73">
        <f t="shared" ref="D287:T287" si="108">IF(D241&gt;0,D241,0)</f>
        <v>0</v>
      </c>
      <c r="E287" s="73">
        <f t="shared" si="108"/>
        <v>0</v>
      </c>
      <c r="F287" s="73">
        <f t="shared" si="108"/>
        <v>0</v>
      </c>
      <c r="G287" s="73">
        <f t="shared" si="108"/>
        <v>26</v>
      </c>
      <c r="H287" s="73">
        <f t="shared" si="108"/>
        <v>0</v>
      </c>
      <c r="I287" s="73">
        <f t="shared" si="108"/>
        <v>0</v>
      </c>
      <c r="J287" s="73">
        <f t="shared" si="108"/>
        <v>33</v>
      </c>
      <c r="K287" s="73">
        <f t="shared" si="108"/>
        <v>0</v>
      </c>
      <c r="L287" s="73">
        <f t="shared" si="108"/>
        <v>0</v>
      </c>
      <c r="M287" s="73">
        <f t="shared" si="108"/>
        <v>291</v>
      </c>
      <c r="N287" s="73">
        <f t="shared" si="108"/>
        <v>0</v>
      </c>
      <c r="O287" s="73">
        <f t="shared" si="108"/>
        <v>0</v>
      </c>
      <c r="P287" s="73">
        <f t="shared" si="108"/>
        <v>0</v>
      </c>
      <c r="Q287" s="73">
        <f t="shared" si="108"/>
        <v>0</v>
      </c>
      <c r="R287" s="73">
        <f t="shared" si="108"/>
        <v>0</v>
      </c>
      <c r="S287" s="73">
        <f t="shared" si="108"/>
        <v>0</v>
      </c>
      <c r="T287" s="73">
        <f t="shared" si="108"/>
        <v>0</v>
      </c>
      <c r="U287" s="373"/>
      <c r="V287" s="73">
        <f>SUM(D287:T287)</f>
        <v>350</v>
      </c>
      <c r="W287" s="354"/>
    </row>
    <row r="288" spans="1:23" s="87" customFormat="1" ht="5.0999999999999996" customHeight="1">
      <c r="A288" s="18"/>
      <c r="B288" s="13"/>
      <c r="C288" s="16"/>
      <c r="D288" s="10"/>
      <c r="E288" s="10"/>
      <c r="F288" s="108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/>
      <c r="V288" s="10"/>
      <c r="W288" s="353"/>
    </row>
    <row r="289" spans="1:24" s="4" customFormat="1" ht="15">
      <c r="A289" s="251"/>
      <c r="B289" s="252"/>
      <c r="C289" s="253" t="s">
        <v>82</v>
      </c>
      <c r="D289" s="262">
        <f t="shared" ref="D289:T289" si="109">SUM(D270,D275,D285,D287)</f>
        <v>0</v>
      </c>
      <c r="E289" s="262">
        <f t="shared" si="109"/>
        <v>0</v>
      </c>
      <c r="F289" s="262">
        <f t="shared" si="109"/>
        <v>2000</v>
      </c>
      <c r="G289" s="262">
        <f t="shared" si="109"/>
        <v>866</v>
      </c>
      <c r="H289" s="262">
        <f t="shared" si="109"/>
        <v>740</v>
      </c>
      <c r="I289" s="262">
        <f t="shared" si="109"/>
        <v>740</v>
      </c>
      <c r="J289" s="262">
        <f t="shared" si="109"/>
        <v>773</v>
      </c>
      <c r="K289" s="262">
        <f t="shared" si="109"/>
        <v>740</v>
      </c>
      <c r="L289" s="262">
        <f t="shared" si="109"/>
        <v>740</v>
      </c>
      <c r="M289" s="262">
        <f t="shared" si="109"/>
        <v>1031</v>
      </c>
      <c r="N289" s="262">
        <f t="shared" si="109"/>
        <v>740</v>
      </c>
      <c r="O289" s="262">
        <f t="shared" si="109"/>
        <v>740</v>
      </c>
      <c r="P289" s="262">
        <f t="shared" si="109"/>
        <v>740</v>
      </c>
      <c r="Q289" s="262">
        <f t="shared" si="109"/>
        <v>0</v>
      </c>
      <c r="R289" s="262">
        <f t="shared" si="109"/>
        <v>0</v>
      </c>
      <c r="S289" s="262">
        <f t="shared" si="109"/>
        <v>0</v>
      </c>
      <c r="T289" s="262">
        <f t="shared" si="109"/>
        <v>0</v>
      </c>
      <c r="U289"/>
      <c r="V289" s="262">
        <f>SUM(V270,V275,V285,V287)</f>
        <v>9850</v>
      </c>
      <c r="W289" s="363"/>
    </row>
    <row r="290" spans="1:24" s="4" customFormat="1" ht="5.0999999999999996" customHeight="1"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/>
      <c r="V290" s="6"/>
      <c r="W290" s="365"/>
    </row>
    <row r="291" spans="1:24" s="112" customFormat="1" ht="14.25">
      <c r="A291" s="109"/>
      <c r="B291" s="110"/>
      <c r="C291" s="110" t="s">
        <v>83</v>
      </c>
      <c r="D291" s="111">
        <f t="shared" ref="D291:T291" si="110">D289-D265</f>
        <v>-4356</v>
      </c>
      <c r="E291" s="111">
        <f t="shared" si="110"/>
        <v>0</v>
      </c>
      <c r="F291" s="111">
        <f t="shared" si="110"/>
        <v>1600</v>
      </c>
      <c r="G291" s="111">
        <f t="shared" si="110"/>
        <v>639</v>
      </c>
      <c r="H291" s="111">
        <f t="shared" si="110"/>
        <v>546</v>
      </c>
      <c r="I291" s="111">
        <f t="shared" si="110"/>
        <v>434</v>
      </c>
      <c r="J291" s="111">
        <f t="shared" si="110"/>
        <v>708</v>
      </c>
      <c r="K291" s="111">
        <f t="shared" si="110"/>
        <v>700</v>
      </c>
      <c r="L291" s="111">
        <f t="shared" si="110"/>
        <v>-1323</v>
      </c>
      <c r="M291" s="111">
        <f t="shared" si="110"/>
        <v>987</v>
      </c>
      <c r="N291" s="111">
        <f t="shared" si="110"/>
        <v>699</v>
      </c>
      <c r="O291" s="111">
        <f t="shared" si="110"/>
        <v>700</v>
      </c>
      <c r="P291" s="111">
        <f t="shared" si="110"/>
        <v>700</v>
      </c>
      <c r="Q291" s="111">
        <f t="shared" si="110"/>
        <v>0</v>
      </c>
      <c r="R291" s="111">
        <f t="shared" si="110"/>
        <v>-2000</v>
      </c>
      <c r="S291" s="111">
        <f t="shared" si="110"/>
        <v>-34</v>
      </c>
      <c r="T291" s="111">
        <f t="shared" si="110"/>
        <v>0</v>
      </c>
      <c r="U291"/>
      <c r="W291" s="366"/>
    </row>
    <row r="292" spans="1:24" s="112" customFormat="1" ht="5.0999999999999996" customHeight="1">
      <c r="A292" s="114"/>
      <c r="B292" s="115"/>
      <c r="C292" s="115"/>
      <c r="D292" s="116"/>
      <c r="E292" s="116"/>
      <c r="F292" s="116"/>
      <c r="G292" s="116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/>
      <c r="W292" s="366"/>
    </row>
    <row r="293" spans="1:24" s="112" customFormat="1" ht="14.25">
      <c r="A293" s="264"/>
      <c r="B293" s="265"/>
      <c r="C293" s="265" t="s">
        <v>84</v>
      </c>
      <c r="D293" s="266">
        <f>D291</f>
        <v>-4356</v>
      </c>
      <c r="E293" s="266">
        <f t="shared" ref="E293:T293" si="111">D293+E291</f>
        <v>-4356</v>
      </c>
      <c r="F293" s="266">
        <f t="shared" si="111"/>
        <v>-2756</v>
      </c>
      <c r="G293" s="266">
        <f t="shared" si="111"/>
        <v>-2117</v>
      </c>
      <c r="H293" s="266">
        <f t="shared" si="111"/>
        <v>-1571</v>
      </c>
      <c r="I293" s="266">
        <f t="shared" si="111"/>
        <v>-1137</v>
      </c>
      <c r="J293" s="266">
        <f t="shared" si="111"/>
        <v>-429</v>
      </c>
      <c r="K293" s="266">
        <f t="shared" si="111"/>
        <v>271</v>
      </c>
      <c r="L293" s="266">
        <f t="shared" si="111"/>
        <v>-1052</v>
      </c>
      <c r="M293" s="266">
        <f t="shared" si="111"/>
        <v>-65</v>
      </c>
      <c r="N293" s="266">
        <f t="shared" si="111"/>
        <v>634</v>
      </c>
      <c r="O293" s="266">
        <f t="shared" si="111"/>
        <v>1334</v>
      </c>
      <c r="P293" s="266">
        <f t="shared" si="111"/>
        <v>2034</v>
      </c>
      <c r="Q293" s="266">
        <f t="shared" si="111"/>
        <v>2034</v>
      </c>
      <c r="R293" s="266">
        <f t="shared" si="111"/>
        <v>34</v>
      </c>
      <c r="S293" s="266">
        <f t="shared" si="111"/>
        <v>0</v>
      </c>
      <c r="T293" s="266">
        <f t="shared" si="111"/>
        <v>0</v>
      </c>
      <c r="U293"/>
      <c r="W293" s="366"/>
    </row>
    <row r="294" spans="1:24" s="4" customFormat="1" ht="5.0999999999999996" customHeight="1"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/>
      <c r="V294" s="6"/>
      <c r="W294" s="365"/>
      <c r="X294" s="5"/>
    </row>
    <row r="314" spans="8:23" s="151" customFormat="1" ht="15">
      <c r="H314" s="152"/>
      <c r="I314" s="152"/>
      <c r="T314" s="152"/>
      <c r="U314"/>
      <c r="V314" s="152"/>
      <c r="W314" s="367"/>
    </row>
    <row r="315" spans="8:23" s="151" customFormat="1" ht="15">
      <c r="H315" s="152"/>
      <c r="I315" s="152"/>
      <c r="T315" s="152"/>
      <c r="U315"/>
      <c r="V315" s="152"/>
      <c r="W315" s="367"/>
    </row>
    <row r="316" spans="8:23" s="151" customFormat="1" ht="15">
      <c r="H316" s="152"/>
      <c r="I316" s="152"/>
      <c r="T316" s="152"/>
      <c r="U316"/>
      <c r="V316" s="152"/>
      <c r="W316" s="367"/>
    </row>
    <row r="317" spans="8:23" s="151" customFormat="1" ht="15">
      <c r="H317" s="152"/>
      <c r="I317" s="152"/>
      <c r="T317" s="152"/>
      <c r="U317"/>
      <c r="V317" s="152"/>
      <c r="W317" s="367"/>
    </row>
    <row r="318" spans="8:23" s="151" customFormat="1" ht="15">
      <c r="H318" s="152"/>
      <c r="I318" s="152"/>
      <c r="T318" s="152"/>
      <c r="U318"/>
      <c r="V318" s="152"/>
      <c r="W318" s="367"/>
    </row>
    <row r="319" spans="8:23" s="151" customFormat="1" ht="15">
      <c r="H319" s="152"/>
      <c r="I319" s="152"/>
      <c r="T319" s="152"/>
      <c r="U319"/>
      <c r="V319" s="152"/>
      <c r="W319" s="367"/>
    </row>
    <row r="320" spans="8:23" s="151" customFormat="1" ht="15">
      <c r="H320" s="152"/>
      <c r="I320" s="152"/>
      <c r="T320" s="152"/>
      <c r="U320"/>
      <c r="V320" s="152"/>
      <c r="W320" s="367"/>
    </row>
    <row r="321" spans="8:23" s="151" customFormat="1" ht="15">
      <c r="H321" s="152"/>
      <c r="I321" s="152"/>
      <c r="T321" s="152"/>
      <c r="U321"/>
      <c r="V321" s="152"/>
      <c r="W321" s="367"/>
    </row>
    <row r="322" spans="8:23" s="151" customFormat="1" ht="15">
      <c r="H322" s="152"/>
      <c r="I322" s="152"/>
      <c r="T322" s="152"/>
      <c r="U322"/>
      <c r="V322" s="152"/>
      <c r="W322" s="367"/>
    </row>
    <row r="323" spans="8:23" s="151" customFormat="1" ht="15">
      <c r="H323" s="152"/>
      <c r="I323" s="152"/>
      <c r="T323" s="152"/>
      <c r="U323"/>
      <c r="V323" s="152"/>
      <c r="W323" s="367"/>
    </row>
    <row r="324" spans="8:23" s="151" customFormat="1" ht="15">
      <c r="H324" s="152"/>
      <c r="I324" s="152"/>
      <c r="T324" s="152"/>
      <c r="U324"/>
      <c r="V324" s="152"/>
      <c r="W324" s="367"/>
    </row>
    <row r="325" spans="8:23" s="151" customFormat="1" ht="15">
      <c r="H325" s="152"/>
      <c r="I325" s="152"/>
      <c r="T325" s="152"/>
      <c r="U325"/>
      <c r="V325" s="152"/>
      <c r="W325" s="367"/>
    </row>
    <row r="326" spans="8:23" s="151" customFormat="1" ht="15">
      <c r="H326" s="152"/>
      <c r="I326" s="152"/>
      <c r="T326" s="152"/>
      <c r="U326"/>
      <c r="V326" s="152"/>
      <c r="W326" s="367"/>
    </row>
    <row r="327" spans="8:23" s="151" customFormat="1" ht="15">
      <c r="H327" s="152"/>
      <c r="I327" s="152"/>
      <c r="T327" s="152"/>
      <c r="U327"/>
      <c r="V327" s="152"/>
      <c r="W327" s="367"/>
    </row>
    <row r="328" spans="8:23" s="151" customFormat="1" ht="15">
      <c r="H328" s="152"/>
      <c r="I328" s="152"/>
      <c r="T328" s="152"/>
      <c r="U328"/>
      <c r="V328" s="152"/>
      <c r="W328" s="367"/>
    </row>
    <row r="329" spans="8:23" s="151" customFormat="1" ht="15">
      <c r="H329" s="152"/>
      <c r="I329" s="152"/>
      <c r="T329" s="152"/>
      <c r="U329"/>
      <c r="V329" s="152"/>
      <c r="W329" s="367"/>
    </row>
    <row r="330" spans="8:23" s="151" customFormat="1" ht="15">
      <c r="H330" s="152"/>
      <c r="I330" s="152"/>
      <c r="T330" s="152"/>
      <c r="U330"/>
      <c r="V330" s="152"/>
      <c r="W330" s="367"/>
    </row>
    <row r="331" spans="8:23" s="151" customFormat="1" ht="15">
      <c r="H331" s="152"/>
      <c r="I331" s="152"/>
      <c r="T331" s="152"/>
      <c r="U331"/>
      <c r="V331" s="152"/>
      <c r="W331" s="367"/>
    </row>
    <row r="332" spans="8:23" s="151" customFormat="1" ht="15">
      <c r="H332" s="152"/>
      <c r="I332" s="152"/>
      <c r="T332" s="152"/>
      <c r="U332"/>
      <c r="V332" s="152"/>
      <c r="W332" s="367"/>
    </row>
    <row r="333" spans="8:23" s="151" customFormat="1" ht="15">
      <c r="H333" s="152"/>
      <c r="I333" s="152"/>
      <c r="T333" s="152"/>
      <c r="U333"/>
      <c r="V333" s="152"/>
      <c r="W333" s="367"/>
    </row>
    <row r="334" spans="8:23" s="151" customFormat="1" ht="15">
      <c r="H334" s="152"/>
      <c r="I334" s="152"/>
      <c r="T334" s="152"/>
      <c r="U334"/>
      <c r="V334" s="152"/>
      <c r="W334" s="367"/>
    </row>
    <row r="335" spans="8:23" s="151" customFormat="1" ht="15">
      <c r="H335" s="152"/>
      <c r="I335" s="152"/>
      <c r="T335" s="152"/>
      <c r="U335"/>
      <c r="V335" s="152"/>
      <c r="W335" s="367"/>
    </row>
    <row r="336" spans="8:23" s="151" customFormat="1" ht="15">
      <c r="H336" s="152"/>
      <c r="I336" s="152"/>
      <c r="T336" s="152"/>
      <c r="U336"/>
      <c r="V336" s="152"/>
      <c r="W336" s="367"/>
    </row>
    <row r="337" spans="8:23" s="151" customFormat="1" ht="15">
      <c r="H337" s="152"/>
      <c r="I337" s="152"/>
      <c r="T337" s="152"/>
      <c r="U337"/>
      <c r="V337" s="152"/>
      <c r="W337" s="367"/>
    </row>
    <row r="338" spans="8:23" s="151" customFormat="1" ht="15">
      <c r="H338" s="152"/>
      <c r="I338" s="152"/>
      <c r="T338" s="152"/>
      <c r="U338"/>
      <c r="V338" s="152"/>
      <c r="W338" s="367"/>
    </row>
    <row r="339" spans="8:23" s="151" customFormat="1" ht="15">
      <c r="H339" s="152"/>
      <c r="I339" s="152"/>
      <c r="T339" s="152"/>
      <c r="U339"/>
      <c r="V339" s="152"/>
      <c r="W339" s="367"/>
    </row>
    <row r="340" spans="8:23" s="151" customFormat="1" ht="15">
      <c r="H340" s="152"/>
      <c r="I340" s="152"/>
      <c r="T340" s="152"/>
      <c r="U340"/>
      <c r="V340" s="152"/>
      <c r="W340" s="367"/>
    </row>
    <row r="341" spans="8:23" s="151" customFormat="1" ht="15">
      <c r="H341" s="152"/>
      <c r="I341" s="152"/>
      <c r="T341" s="152"/>
      <c r="U341"/>
      <c r="V341" s="152"/>
      <c r="W341" s="367"/>
    </row>
    <row r="342" spans="8:23" s="151" customFormat="1" ht="15">
      <c r="H342" s="152"/>
      <c r="I342" s="152"/>
      <c r="T342" s="152"/>
      <c r="U342"/>
      <c r="V342" s="152"/>
      <c r="W342" s="367"/>
    </row>
    <row r="343" spans="8:23" s="151" customFormat="1" ht="15">
      <c r="H343" s="152"/>
      <c r="I343" s="152"/>
      <c r="T343" s="152"/>
      <c r="U343"/>
      <c r="V343" s="152"/>
      <c r="W343" s="367"/>
    </row>
    <row r="344" spans="8:23" s="151" customFormat="1" ht="15">
      <c r="H344" s="152"/>
      <c r="I344" s="152"/>
      <c r="T344" s="152"/>
      <c r="U344"/>
      <c r="V344" s="152"/>
      <c r="W344" s="367"/>
    </row>
    <row r="345" spans="8:23" s="151" customFormat="1" ht="15">
      <c r="H345" s="152"/>
      <c r="I345" s="152"/>
      <c r="T345" s="152"/>
      <c r="U345"/>
      <c r="V345" s="152"/>
      <c r="W345" s="367"/>
    </row>
    <row r="346" spans="8:23" s="151" customFormat="1" ht="15">
      <c r="H346" s="152"/>
      <c r="I346" s="152"/>
      <c r="T346" s="152"/>
      <c r="U346"/>
      <c r="V346" s="152"/>
      <c r="W346" s="367"/>
    </row>
    <row r="347" spans="8:23" s="151" customFormat="1" ht="15">
      <c r="H347" s="152"/>
      <c r="I347" s="152"/>
      <c r="T347" s="152"/>
      <c r="U347"/>
      <c r="V347" s="152"/>
      <c r="W347" s="367"/>
    </row>
    <row r="348" spans="8:23" s="151" customFormat="1" ht="15">
      <c r="H348" s="152"/>
      <c r="I348" s="152"/>
      <c r="T348" s="152"/>
      <c r="U348"/>
      <c r="V348" s="152"/>
      <c r="W348" s="367"/>
    </row>
    <row r="349" spans="8:23" s="151" customFormat="1" ht="15">
      <c r="H349" s="152"/>
      <c r="I349" s="152"/>
      <c r="T349" s="152"/>
      <c r="U349"/>
      <c r="V349" s="152"/>
      <c r="W349" s="367"/>
    </row>
    <row r="350" spans="8:23" s="151" customFormat="1" ht="15">
      <c r="H350" s="152"/>
      <c r="I350" s="152"/>
      <c r="T350" s="152"/>
      <c r="U350"/>
      <c r="V350" s="152"/>
      <c r="W350" s="367"/>
    </row>
    <row r="351" spans="8:23" s="151" customFormat="1" ht="15">
      <c r="H351" s="152"/>
      <c r="I351" s="152"/>
      <c r="T351" s="152"/>
      <c r="U351"/>
      <c r="V351" s="152"/>
      <c r="W351" s="367"/>
    </row>
    <row r="352" spans="8:23" s="151" customFormat="1" ht="15">
      <c r="H352" s="152"/>
      <c r="I352" s="152"/>
      <c r="T352" s="152"/>
      <c r="U352"/>
      <c r="V352" s="152"/>
      <c r="W352" s="367"/>
    </row>
    <row r="353" spans="8:23" s="151" customFormat="1" ht="15">
      <c r="H353" s="152"/>
      <c r="I353" s="152"/>
      <c r="T353" s="152"/>
      <c r="U353"/>
      <c r="V353" s="152"/>
      <c r="W353" s="367"/>
    </row>
    <row r="354" spans="8:23" s="151" customFormat="1" ht="15">
      <c r="H354" s="152"/>
      <c r="I354" s="152"/>
      <c r="T354" s="152"/>
      <c r="U354"/>
      <c r="V354" s="152"/>
      <c r="W354" s="367"/>
    </row>
    <row r="355" spans="8:23" s="151" customFormat="1" ht="15">
      <c r="H355" s="152"/>
      <c r="I355" s="152"/>
      <c r="T355" s="152"/>
      <c r="U355"/>
      <c r="V355" s="152"/>
      <c r="W355" s="367"/>
    </row>
    <row r="356" spans="8:23" s="151" customFormat="1" ht="15">
      <c r="H356" s="152"/>
      <c r="I356" s="152"/>
      <c r="T356" s="152"/>
      <c r="U356"/>
      <c r="V356" s="152"/>
      <c r="W356" s="367"/>
    </row>
    <row r="357" spans="8:23" s="151" customFormat="1" ht="15">
      <c r="H357" s="152"/>
      <c r="I357" s="152"/>
      <c r="T357" s="152"/>
      <c r="U357"/>
      <c r="V357" s="152"/>
      <c r="W357" s="367"/>
    </row>
    <row r="358" spans="8:23" s="151" customFormat="1" ht="15">
      <c r="H358" s="152"/>
      <c r="I358" s="152"/>
      <c r="T358" s="152"/>
      <c r="U358"/>
      <c r="V358" s="152"/>
      <c r="W358" s="367"/>
    </row>
    <row r="359" spans="8:23" s="151" customFormat="1" ht="15">
      <c r="H359" s="152"/>
      <c r="I359" s="152"/>
      <c r="T359" s="152"/>
      <c r="U359"/>
      <c r="V359" s="152"/>
      <c r="W359" s="367"/>
    </row>
    <row r="360" spans="8:23" s="151" customFormat="1" ht="15">
      <c r="H360" s="152"/>
      <c r="I360" s="152"/>
      <c r="T360" s="152"/>
      <c r="U360"/>
      <c r="V360" s="152"/>
      <c r="W360" s="367"/>
    </row>
    <row r="361" spans="8:23" s="151" customFormat="1" ht="15">
      <c r="H361" s="152"/>
      <c r="I361" s="152"/>
      <c r="T361" s="152"/>
      <c r="U361"/>
      <c r="V361" s="152"/>
      <c r="W361" s="367"/>
    </row>
    <row r="362" spans="8:23" s="151" customFormat="1" ht="15">
      <c r="H362" s="152"/>
      <c r="I362" s="152"/>
      <c r="T362" s="152"/>
      <c r="U362"/>
      <c r="V362" s="152"/>
      <c r="W362" s="367"/>
    </row>
    <row r="363" spans="8:23" s="151" customFormat="1" ht="15">
      <c r="H363" s="152"/>
      <c r="I363" s="152"/>
      <c r="T363" s="152"/>
      <c r="U363"/>
      <c r="V363" s="152"/>
      <c r="W363" s="367"/>
    </row>
    <row r="364" spans="8:23" s="151" customFormat="1" ht="15">
      <c r="H364" s="152"/>
      <c r="I364" s="152"/>
      <c r="T364" s="152"/>
      <c r="U364"/>
      <c r="V364" s="152"/>
      <c r="W364" s="367"/>
    </row>
    <row r="365" spans="8:23" s="151" customFormat="1" ht="15">
      <c r="H365" s="152"/>
      <c r="I365" s="152"/>
      <c r="T365" s="152"/>
      <c r="U365"/>
      <c r="V365" s="152"/>
      <c r="W365" s="367"/>
    </row>
    <row r="366" spans="8:23" s="151" customFormat="1" ht="15">
      <c r="H366" s="152"/>
      <c r="I366" s="152"/>
      <c r="T366" s="152"/>
      <c r="U366"/>
      <c r="V366" s="152"/>
      <c r="W366" s="367"/>
    </row>
    <row r="367" spans="8:23" s="151" customFormat="1" ht="15">
      <c r="H367" s="152"/>
      <c r="I367" s="152"/>
      <c r="T367" s="152"/>
      <c r="U367"/>
      <c r="V367" s="152"/>
      <c r="W367" s="367"/>
    </row>
    <row r="368" spans="8:23" s="151" customFormat="1" ht="15">
      <c r="H368" s="152"/>
      <c r="I368" s="152"/>
      <c r="T368" s="152"/>
      <c r="U368"/>
      <c r="V368" s="152"/>
      <c r="W368" s="367"/>
    </row>
    <row r="369" spans="8:23" s="151" customFormat="1" ht="15">
      <c r="H369" s="152"/>
      <c r="I369" s="152"/>
      <c r="T369" s="152"/>
      <c r="U369"/>
      <c r="V369" s="152"/>
      <c r="W369" s="367"/>
    </row>
    <row r="370" spans="8:23" s="151" customFormat="1" ht="15">
      <c r="H370" s="152"/>
      <c r="I370" s="152"/>
      <c r="T370" s="152"/>
      <c r="U370"/>
      <c r="V370" s="152"/>
      <c r="W370" s="367"/>
    </row>
    <row r="371" spans="8:23" s="151" customFormat="1" ht="15">
      <c r="H371" s="152"/>
      <c r="I371" s="152"/>
      <c r="T371" s="152"/>
      <c r="U371"/>
      <c r="V371" s="152"/>
      <c r="W371" s="367"/>
    </row>
    <row r="372" spans="8:23" s="151" customFormat="1" ht="15">
      <c r="H372" s="152"/>
      <c r="I372" s="152"/>
      <c r="T372" s="152"/>
      <c r="U372"/>
      <c r="V372" s="152"/>
      <c r="W372" s="367"/>
    </row>
    <row r="373" spans="8:23" s="151" customFormat="1" ht="15">
      <c r="H373" s="152"/>
      <c r="I373" s="152"/>
      <c r="T373" s="152"/>
      <c r="U373"/>
      <c r="V373" s="152"/>
      <c r="W373" s="367"/>
    </row>
    <row r="374" spans="8:23" s="151" customFormat="1" ht="15">
      <c r="H374" s="152"/>
      <c r="I374" s="152"/>
      <c r="T374" s="152"/>
      <c r="U374"/>
      <c r="V374" s="152"/>
      <c r="W374" s="367"/>
    </row>
    <row r="375" spans="8:23" s="151" customFormat="1" ht="15">
      <c r="H375" s="152"/>
      <c r="I375" s="152"/>
      <c r="T375" s="152"/>
      <c r="U375"/>
      <c r="V375" s="152"/>
      <c r="W375" s="367"/>
    </row>
    <row r="376" spans="8:23" s="151" customFormat="1" ht="15">
      <c r="H376" s="152"/>
      <c r="I376" s="152"/>
      <c r="T376" s="152"/>
      <c r="U376"/>
      <c r="V376" s="152"/>
      <c r="W376" s="367"/>
    </row>
    <row r="377" spans="8:23" s="151" customFormat="1" ht="15">
      <c r="H377" s="152"/>
      <c r="I377" s="152"/>
      <c r="T377" s="152"/>
      <c r="U377"/>
      <c r="V377" s="152"/>
      <c r="W377" s="367"/>
    </row>
    <row r="378" spans="8:23" s="151" customFormat="1" ht="15">
      <c r="H378" s="152"/>
      <c r="I378" s="152"/>
      <c r="T378" s="152"/>
      <c r="U378"/>
      <c r="V378" s="152"/>
      <c r="W378" s="367"/>
    </row>
    <row r="379" spans="8:23" s="151" customFormat="1" ht="15">
      <c r="H379" s="152"/>
      <c r="I379" s="152"/>
      <c r="T379" s="152"/>
      <c r="U379"/>
      <c r="V379" s="152"/>
      <c r="W379" s="367"/>
    </row>
    <row r="380" spans="8:23" s="151" customFormat="1" ht="15">
      <c r="H380" s="152"/>
      <c r="I380" s="152"/>
      <c r="T380" s="152"/>
      <c r="U380"/>
      <c r="V380" s="152"/>
      <c r="W380" s="367"/>
    </row>
    <row r="381" spans="8:23" s="151" customFormat="1" ht="15">
      <c r="H381" s="152"/>
      <c r="I381" s="152"/>
      <c r="T381" s="152"/>
      <c r="U381"/>
      <c r="V381" s="152"/>
      <c r="W381" s="367"/>
    </row>
    <row r="382" spans="8:23" s="151" customFormat="1" ht="15">
      <c r="H382" s="152"/>
      <c r="I382" s="152"/>
      <c r="T382" s="152"/>
      <c r="U382"/>
      <c r="V382" s="152"/>
      <c r="W382" s="367"/>
    </row>
    <row r="383" spans="8:23" s="4" customFormat="1" ht="15">
      <c r="H383" s="5"/>
      <c r="I383" s="5"/>
      <c r="T383" s="5"/>
      <c r="U383"/>
      <c r="V383" s="5"/>
      <c r="W383" s="365"/>
    </row>
    <row r="384" spans="8:23" s="4" customFormat="1" ht="15">
      <c r="H384" s="5"/>
      <c r="I384" s="5"/>
      <c r="T384" s="5"/>
      <c r="U384"/>
      <c r="V384" s="5"/>
      <c r="W384" s="365"/>
    </row>
    <row r="385" spans="8:23" s="4" customFormat="1" ht="15">
      <c r="H385" s="5"/>
      <c r="I385" s="5"/>
      <c r="T385" s="5"/>
      <c r="U385"/>
      <c r="V385" s="5"/>
      <c r="W385" s="365"/>
    </row>
    <row r="386" spans="8:23" s="4" customFormat="1" ht="15">
      <c r="H386" s="5"/>
      <c r="I386" s="5"/>
      <c r="T386" s="5"/>
      <c r="U386"/>
      <c r="V386" s="5"/>
      <c r="W386" s="365"/>
    </row>
    <row r="387" spans="8:23" s="4" customFormat="1" ht="15">
      <c r="H387" s="5"/>
      <c r="I387" s="5"/>
      <c r="T387" s="5"/>
      <c r="U387"/>
      <c r="V387" s="5"/>
      <c r="W387" s="365"/>
    </row>
    <row r="388" spans="8:23" s="4" customFormat="1" ht="15">
      <c r="H388" s="5"/>
      <c r="I388" s="5"/>
      <c r="T388" s="5"/>
      <c r="U388"/>
      <c r="V388" s="5"/>
      <c r="W388" s="365"/>
    </row>
    <row r="389" spans="8:23" s="4" customFormat="1" ht="15">
      <c r="H389" s="5"/>
      <c r="I389" s="5"/>
      <c r="T389" s="5"/>
      <c r="U389"/>
      <c r="V389" s="5"/>
      <c r="W389" s="365"/>
    </row>
    <row r="390" spans="8:23" s="4" customFormat="1" ht="15">
      <c r="H390" s="5"/>
      <c r="I390" s="5"/>
      <c r="T390" s="5"/>
      <c r="U390"/>
      <c r="V390" s="5"/>
      <c r="W390" s="365"/>
    </row>
    <row r="391" spans="8:23" s="4" customFormat="1" ht="15">
      <c r="H391" s="5"/>
      <c r="I391" s="5"/>
      <c r="T391" s="5"/>
      <c r="U391"/>
      <c r="V391" s="5"/>
      <c r="W391" s="365"/>
    </row>
    <row r="392" spans="8:23" s="4" customFormat="1" ht="15">
      <c r="H392" s="5"/>
      <c r="I392" s="5"/>
      <c r="T392" s="5"/>
      <c r="U392"/>
      <c r="V392" s="5"/>
      <c r="W392" s="365"/>
    </row>
    <row r="393" spans="8:23" s="4" customFormat="1" ht="15">
      <c r="H393" s="5"/>
      <c r="I393" s="5"/>
      <c r="T393" s="5"/>
      <c r="U393"/>
      <c r="V393" s="5"/>
      <c r="W393" s="365"/>
    </row>
    <row r="394" spans="8:23" s="4" customFormat="1" ht="15">
      <c r="H394" s="5"/>
      <c r="I394" s="5"/>
      <c r="T394" s="5"/>
      <c r="U394"/>
      <c r="V394" s="5"/>
      <c r="W394" s="365"/>
    </row>
    <row r="395" spans="8:23" s="4" customFormat="1" ht="15">
      <c r="H395" s="5"/>
      <c r="I395" s="5"/>
      <c r="T395" s="5"/>
      <c r="U395"/>
      <c r="V395" s="5"/>
      <c r="W395" s="365"/>
    </row>
    <row r="396" spans="8:23" s="4" customFormat="1" ht="15">
      <c r="H396" s="5"/>
      <c r="I396" s="5"/>
      <c r="T396" s="5"/>
      <c r="U396"/>
      <c r="V396" s="5"/>
      <c r="W396" s="365"/>
    </row>
    <row r="397" spans="8:23" s="4" customFormat="1" ht="15">
      <c r="H397" s="5"/>
      <c r="I397" s="5"/>
      <c r="T397" s="5"/>
      <c r="U397"/>
      <c r="V397" s="5"/>
      <c r="W397" s="365"/>
    </row>
    <row r="398" spans="8:23" s="4" customFormat="1" ht="15">
      <c r="H398" s="5"/>
      <c r="I398" s="5"/>
      <c r="T398" s="5"/>
      <c r="U398"/>
      <c r="V398" s="5"/>
      <c r="W398" s="365"/>
    </row>
    <row r="399" spans="8:23" s="4" customFormat="1" ht="15">
      <c r="H399" s="5"/>
      <c r="I399" s="5"/>
      <c r="T399" s="5"/>
      <c r="U399"/>
      <c r="V399" s="5"/>
      <c r="W399" s="365"/>
    </row>
    <row r="400" spans="8:23" s="4" customFormat="1" ht="15">
      <c r="H400" s="5"/>
      <c r="I400" s="5"/>
      <c r="T400" s="5"/>
      <c r="U400"/>
      <c r="V400" s="5"/>
      <c r="W400" s="365"/>
    </row>
    <row r="401" spans="8:23" s="4" customFormat="1" ht="15">
      <c r="H401" s="5"/>
      <c r="I401" s="5"/>
      <c r="T401" s="5"/>
      <c r="U401"/>
      <c r="V401" s="5"/>
      <c r="W401" s="365"/>
    </row>
    <row r="402" spans="8:23" s="4" customFormat="1" ht="15">
      <c r="H402" s="5"/>
      <c r="I402" s="5"/>
      <c r="T402" s="5"/>
      <c r="U402"/>
      <c r="V402" s="5"/>
      <c r="W402" s="365"/>
    </row>
    <row r="403" spans="8:23" s="4" customFormat="1" ht="15">
      <c r="H403" s="5"/>
      <c r="I403" s="5"/>
      <c r="T403" s="5"/>
      <c r="U403"/>
      <c r="V403" s="5"/>
      <c r="W403" s="365"/>
    </row>
    <row r="404" spans="8:23" s="4" customFormat="1" ht="15">
      <c r="H404" s="5"/>
      <c r="I404" s="5"/>
      <c r="T404" s="5"/>
      <c r="U404"/>
      <c r="V404" s="5"/>
      <c r="W404" s="365"/>
    </row>
    <row r="405" spans="8:23" s="4" customFormat="1" ht="15">
      <c r="H405" s="5"/>
      <c r="I405" s="5"/>
      <c r="T405" s="5"/>
      <c r="U405"/>
      <c r="V405" s="5"/>
      <c r="W405" s="365"/>
    </row>
    <row r="406" spans="8:23" s="4" customFormat="1" ht="15">
      <c r="H406" s="5"/>
      <c r="I406" s="5"/>
      <c r="T406" s="5"/>
      <c r="U406"/>
      <c r="V406" s="5"/>
      <c r="W406" s="365"/>
    </row>
    <row r="407" spans="8:23" s="4" customFormat="1" ht="15">
      <c r="H407" s="5"/>
      <c r="I407" s="5"/>
      <c r="T407" s="5"/>
      <c r="U407"/>
      <c r="V407" s="5"/>
      <c r="W407" s="365"/>
    </row>
    <row r="408" spans="8:23" s="4" customFormat="1" ht="15">
      <c r="H408" s="5"/>
      <c r="I408" s="5"/>
      <c r="T408" s="5"/>
      <c r="U408"/>
      <c r="V408" s="5"/>
      <c r="W408" s="365"/>
    </row>
    <row r="409" spans="8:23" s="4" customFormat="1" ht="15">
      <c r="H409" s="5"/>
      <c r="I409" s="5"/>
      <c r="T409" s="5"/>
      <c r="U409"/>
      <c r="V409" s="5"/>
      <c r="W409" s="365"/>
    </row>
    <row r="410" spans="8:23" s="4" customFormat="1" ht="15">
      <c r="H410" s="5"/>
      <c r="I410" s="5"/>
      <c r="T410" s="5"/>
      <c r="U410"/>
      <c r="V410" s="5"/>
      <c r="W410" s="365"/>
    </row>
    <row r="411" spans="8:23" s="4" customFormat="1" ht="15">
      <c r="H411" s="5"/>
      <c r="I411" s="5"/>
      <c r="T411" s="5"/>
      <c r="U411"/>
      <c r="V411" s="5"/>
      <c r="W411" s="365"/>
    </row>
    <row r="412" spans="8:23" s="4" customFormat="1" ht="15">
      <c r="H412" s="5"/>
      <c r="I412" s="5"/>
      <c r="T412" s="5"/>
      <c r="U412"/>
      <c r="V412" s="5"/>
      <c r="W412" s="365"/>
    </row>
    <row r="413" spans="8:23" s="4" customFormat="1" ht="15">
      <c r="H413" s="5"/>
      <c r="I413" s="5"/>
      <c r="T413" s="5"/>
      <c r="U413"/>
      <c r="V413" s="5"/>
      <c r="W413" s="365"/>
    </row>
    <row r="414" spans="8:23" s="4" customFormat="1" ht="15">
      <c r="H414" s="5"/>
      <c r="I414" s="5"/>
      <c r="T414" s="5"/>
      <c r="U414"/>
      <c r="V414" s="5"/>
      <c r="W414" s="365"/>
    </row>
    <row r="415" spans="8:23" s="4" customFormat="1" ht="15">
      <c r="H415" s="5"/>
      <c r="I415" s="5"/>
      <c r="T415" s="5"/>
      <c r="U415"/>
      <c r="V415" s="5"/>
      <c r="W415" s="365"/>
    </row>
    <row r="416" spans="8:23" s="4" customFormat="1" ht="15">
      <c r="H416" s="5"/>
      <c r="I416" s="5"/>
      <c r="T416" s="5"/>
      <c r="U416"/>
      <c r="V416" s="5"/>
      <c r="W416" s="365"/>
    </row>
    <row r="417" spans="8:23" s="4" customFormat="1" ht="15">
      <c r="H417" s="5"/>
      <c r="I417" s="5"/>
      <c r="T417" s="5"/>
      <c r="U417"/>
      <c r="V417" s="5"/>
      <c r="W417" s="365"/>
    </row>
    <row r="418" spans="8:23" s="4" customFormat="1" ht="15">
      <c r="H418" s="5"/>
      <c r="I418" s="5"/>
      <c r="T418" s="5"/>
      <c r="U418"/>
      <c r="V418" s="5"/>
      <c r="W418" s="365"/>
    </row>
    <row r="419" spans="8:23" s="4" customFormat="1" ht="15">
      <c r="H419" s="5"/>
      <c r="I419" s="5"/>
      <c r="T419" s="5"/>
      <c r="U419"/>
      <c r="V419" s="5"/>
      <c r="W419" s="365"/>
    </row>
    <row r="420" spans="8:23" s="4" customFormat="1" ht="15">
      <c r="H420" s="5"/>
      <c r="I420" s="5"/>
      <c r="T420" s="5"/>
      <c r="U420"/>
      <c r="V420" s="5"/>
      <c r="W420" s="365"/>
    </row>
    <row r="421" spans="8:23" s="4" customFormat="1" ht="15">
      <c r="H421" s="5"/>
      <c r="I421" s="5"/>
      <c r="T421" s="5"/>
      <c r="U421"/>
      <c r="V421" s="5"/>
      <c r="W421" s="365"/>
    </row>
    <row r="422" spans="8:23" s="4" customFormat="1" ht="15">
      <c r="H422" s="5"/>
      <c r="I422" s="5"/>
      <c r="T422" s="5"/>
      <c r="U422"/>
      <c r="V422" s="5"/>
      <c r="W422" s="365"/>
    </row>
    <row r="423" spans="8:23" s="4" customFormat="1" ht="15">
      <c r="H423" s="5"/>
      <c r="I423" s="5"/>
      <c r="T423" s="5"/>
      <c r="U423"/>
      <c r="V423" s="5"/>
      <c r="W423" s="365"/>
    </row>
    <row r="424" spans="8:23" s="4" customFormat="1" ht="15">
      <c r="H424" s="5"/>
      <c r="I424" s="5"/>
      <c r="T424" s="5"/>
      <c r="U424"/>
      <c r="V424" s="5"/>
      <c r="W424" s="365"/>
    </row>
    <row r="425" spans="8:23" s="4" customFormat="1" ht="15">
      <c r="H425" s="5"/>
      <c r="I425" s="5"/>
      <c r="T425" s="5"/>
      <c r="U425"/>
      <c r="V425" s="5"/>
      <c r="W425" s="365"/>
    </row>
    <row r="426" spans="8:23" s="4" customFormat="1" ht="15">
      <c r="H426" s="5"/>
      <c r="I426" s="5"/>
      <c r="T426" s="5"/>
      <c r="U426"/>
      <c r="V426" s="5"/>
      <c r="W426" s="365"/>
    </row>
    <row r="427" spans="8:23" s="4" customFormat="1" ht="15">
      <c r="H427" s="5"/>
      <c r="I427" s="5"/>
      <c r="T427" s="5"/>
      <c r="U427"/>
      <c r="V427" s="5"/>
      <c r="W427" s="365"/>
    </row>
    <row r="428" spans="8:23" s="4" customFormat="1" ht="15">
      <c r="H428" s="5"/>
      <c r="I428" s="5"/>
      <c r="T428" s="5"/>
      <c r="U428"/>
      <c r="V428" s="5"/>
      <c r="W428" s="365"/>
    </row>
    <row r="429" spans="8:23" s="4" customFormat="1" ht="15">
      <c r="H429" s="5"/>
      <c r="I429" s="5"/>
      <c r="T429" s="5"/>
      <c r="U429"/>
      <c r="V429" s="5"/>
      <c r="W429" s="365"/>
    </row>
    <row r="430" spans="8:23" s="4" customFormat="1" ht="15">
      <c r="H430" s="5"/>
      <c r="I430" s="5"/>
      <c r="T430" s="5"/>
      <c r="U430"/>
      <c r="V430" s="5"/>
      <c r="W430" s="365"/>
    </row>
    <row r="431" spans="8:23" s="4" customFormat="1" ht="15">
      <c r="H431" s="5"/>
      <c r="I431" s="5"/>
      <c r="T431" s="5"/>
      <c r="U431"/>
      <c r="V431" s="5"/>
      <c r="W431" s="365"/>
    </row>
    <row r="432" spans="8:23" s="4" customFormat="1" ht="15">
      <c r="H432" s="5"/>
      <c r="I432" s="5"/>
      <c r="T432" s="5"/>
      <c r="U432"/>
      <c r="V432" s="5"/>
      <c r="W432" s="365"/>
    </row>
    <row r="433" spans="8:23" s="4" customFormat="1" ht="15">
      <c r="H433" s="5"/>
      <c r="I433" s="5"/>
      <c r="T433" s="5"/>
      <c r="U433"/>
      <c r="V433" s="5"/>
      <c r="W433" s="365"/>
    </row>
    <row r="434" spans="8:23" s="4" customFormat="1" ht="15">
      <c r="H434" s="5"/>
      <c r="I434" s="5"/>
      <c r="T434" s="5"/>
      <c r="U434"/>
      <c r="V434" s="5"/>
      <c r="W434" s="365"/>
    </row>
    <row r="435" spans="8:23" s="4" customFormat="1" ht="15">
      <c r="H435" s="5"/>
      <c r="I435" s="5"/>
      <c r="T435" s="5"/>
      <c r="U435"/>
      <c r="V435" s="5"/>
      <c r="W435" s="365"/>
    </row>
    <row r="436" spans="8:23" s="4" customFormat="1" ht="15">
      <c r="H436" s="5"/>
      <c r="I436" s="5"/>
      <c r="T436" s="5"/>
      <c r="U436"/>
      <c r="V436" s="5"/>
      <c r="W436" s="365"/>
    </row>
    <row r="437" spans="8:23" s="4" customFormat="1" ht="15">
      <c r="H437" s="5"/>
      <c r="I437" s="5"/>
      <c r="T437" s="5"/>
      <c r="U437"/>
      <c r="V437" s="5"/>
      <c r="W437" s="365"/>
    </row>
    <row r="438" spans="8:23" s="4" customFormat="1" ht="15">
      <c r="H438" s="5"/>
      <c r="I438" s="5"/>
      <c r="T438" s="5"/>
      <c r="U438"/>
      <c r="V438" s="5"/>
      <c r="W438" s="365"/>
    </row>
    <row r="439" spans="8:23" s="4" customFormat="1" ht="15">
      <c r="H439" s="5"/>
      <c r="I439" s="5"/>
      <c r="T439" s="5"/>
      <c r="U439"/>
      <c r="V439" s="5"/>
      <c r="W439" s="365"/>
    </row>
    <row r="440" spans="8:23" s="4" customFormat="1" ht="15">
      <c r="H440" s="5"/>
      <c r="I440" s="5"/>
      <c r="T440" s="5"/>
      <c r="U440"/>
      <c r="V440" s="5"/>
      <c r="W440" s="365"/>
    </row>
    <row r="441" spans="8:23" s="4" customFormat="1" ht="15">
      <c r="H441" s="5"/>
      <c r="I441" s="5"/>
      <c r="T441" s="5"/>
      <c r="U441"/>
      <c r="V441" s="5"/>
      <c r="W441" s="365"/>
    </row>
    <row r="442" spans="8:23" s="4" customFormat="1" ht="15">
      <c r="H442" s="5"/>
      <c r="I442" s="5"/>
      <c r="T442" s="5"/>
      <c r="U442"/>
      <c r="V442" s="5"/>
      <c r="W442" s="365"/>
    </row>
    <row r="443" spans="8:23" s="4" customFormat="1" ht="15">
      <c r="H443" s="5"/>
      <c r="I443" s="5"/>
      <c r="T443" s="5"/>
      <c r="U443"/>
      <c r="V443" s="5"/>
      <c r="W443" s="365"/>
    </row>
    <row r="444" spans="8:23" s="4" customFormat="1" ht="15">
      <c r="H444" s="5"/>
      <c r="I444" s="5"/>
      <c r="T444" s="5"/>
      <c r="U444"/>
      <c r="V444" s="5"/>
      <c r="W444" s="365"/>
    </row>
    <row r="445" spans="8:23" s="4" customFormat="1" ht="15">
      <c r="H445" s="5"/>
      <c r="I445" s="5"/>
      <c r="T445" s="5"/>
      <c r="U445"/>
      <c r="V445" s="5"/>
      <c r="W445" s="365"/>
    </row>
    <row r="446" spans="8:23" s="4" customFormat="1" ht="15">
      <c r="H446" s="5"/>
      <c r="I446" s="5"/>
      <c r="T446" s="5"/>
      <c r="U446"/>
      <c r="V446" s="5"/>
      <c r="W446" s="365"/>
    </row>
    <row r="447" spans="8:23" s="4" customFormat="1" ht="15">
      <c r="H447" s="5"/>
      <c r="I447" s="5"/>
      <c r="T447" s="5"/>
      <c r="U447"/>
      <c r="V447" s="5"/>
      <c r="W447" s="365"/>
    </row>
    <row r="448" spans="8:23" s="4" customFormat="1" ht="15">
      <c r="H448" s="5"/>
      <c r="I448" s="5"/>
      <c r="T448" s="5"/>
      <c r="U448"/>
      <c r="V448" s="5"/>
      <c r="W448" s="365"/>
    </row>
    <row r="449" spans="8:23" s="4" customFormat="1" ht="15">
      <c r="H449" s="5"/>
      <c r="I449" s="5"/>
      <c r="T449" s="5"/>
      <c r="U449"/>
      <c r="V449" s="5"/>
      <c r="W449" s="365"/>
    </row>
    <row r="450" spans="8:23" s="4" customFormat="1" ht="15">
      <c r="H450" s="5"/>
      <c r="I450" s="5"/>
      <c r="T450" s="5"/>
      <c r="U450"/>
      <c r="V450" s="5"/>
      <c r="W450" s="365"/>
    </row>
    <row r="451" spans="8:23" s="4" customFormat="1" ht="15">
      <c r="H451" s="5"/>
      <c r="I451" s="5"/>
      <c r="T451" s="5"/>
      <c r="U451"/>
      <c r="V451" s="5"/>
      <c r="W451" s="365"/>
    </row>
    <row r="452" spans="8:23" s="4" customFormat="1" ht="15">
      <c r="H452" s="5"/>
      <c r="I452" s="5"/>
      <c r="T452" s="5"/>
      <c r="U452"/>
      <c r="V452" s="5"/>
      <c r="W452" s="365"/>
    </row>
    <row r="453" spans="8:23" s="4" customFormat="1" ht="15">
      <c r="H453" s="5"/>
      <c r="I453" s="5"/>
      <c r="T453" s="5"/>
      <c r="U453"/>
      <c r="V453" s="5"/>
      <c r="W453" s="365"/>
    </row>
    <row r="454" spans="8:23" s="4" customFormat="1" ht="15">
      <c r="H454" s="5"/>
      <c r="I454" s="5"/>
      <c r="T454" s="5"/>
      <c r="U454"/>
      <c r="V454" s="5"/>
      <c r="W454" s="365"/>
    </row>
    <row r="455" spans="8:23" s="4" customFormat="1" ht="15">
      <c r="H455" s="5"/>
      <c r="I455" s="5"/>
      <c r="T455" s="5"/>
      <c r="U455"/>
      <c r="V455" s="5"/>
      <c r="W455" s="365"/>
    </row>
    <row r="456" spans="8:23" s="4" customFormat="1" ht="15">
      <c r="H456" s="5"/>
      <c r="I456" s="5"/>
      <c r="T456" s="5"/>
      <c r="U456"/>
      <c r="V456" s="5"/>
      <c r="W456" s="365"/>
    </row>
    <row r="457" spans="8:23" s="4" customFormat="1" ht="15">
      <c r="H457" s="5"/>
      <c r="I457" s="5"/>
      <c r="T457" s="5"/>
      <c r="U457"/>
      <c r="V457" s="5"/>
      <c r="W457" s="365"/>
    </row>
    <row r="458" spans="8:23" s="4" customFormat="1" ht="15">
      <c r="H458" s="5"/>
      <c r="I458" s="5"/>
      <c r="T458" s="5"/>
      <c r="U458"/>
      <c r="V458" s="5"/>
      <c r="W458" s="365"/>
    </row>
    <row r="459" spans="8:23" s="4" customFormat="1" ht="15">
      <c r="H459" s="5"/>
      <c r="I459" s="5"/>
      <c r="T459" s="5"/>
      <c r="U459"/>
      <c r="V459" s="5"/>
      <c r="W459" s="365"/>
    </row>
    <row r="460" spans="8:23" s="4" customFormat="1" ht="15">
      <c r="H460" s="5"/>
      <c r="I460" s="5"/>
      <c r="T460" s="5"/>
      <c r="U460"/>
      <c r="V460" s="5"/>
      <c r="W460" s="365"/>
    </row>
    <row r="461" spans="8:23" s="4" customFormat="1" ht="15">
      <c r="H461" s="5"/>
      <c r="I461" s="5"/>
      <c r="T461" s="5"/>
      <c r="U461"/>
      <c r="V461" s="5"/>
      <c r="W461" s="365"/>
    </row>
    <row r="462" spans="8:23" s="4" customFormat="1" ht="15">
      <c r="H462" s="5"/>
      <c r="I462" s="5"/>
      <c r="T462" s="5"/>
      <c r="U462"/>
      <c r="V462" s="5"/>
      <c r="W462" s="365"/>
    </row>
    <row r="463" spans="8:23" s="4" customFormat="1" ht="15">
      <c r="H463" s="5"/>
      <c r="I463" s="5"/>
      <c r="T463" s="5"/>
      <c r="U463"/>
      <c r="V463" s="5"/>
      <c r="W463" s="365"/>
    </row>
    <row r="464" spans="8:23" s="4" customFormat="1" ht="15">
      <c r="H464" s="5"/>
      <c r="I464" s="5"/>
      <c r="T464" s="5"/>
      <c r="U464"/>
      <c r="V464" s="5"/>
      <c r="W464" s="365"/>
    </row>
    <row r="465" spans="8:23" s="4" customFormat="1" ht="15">
      <c r="H465" s="5"/>
      <c r="I465" s="5"/>
      <c r="T465" s="5"/>
      <c r="U465"/>
      <c r="V465" s="5"/>
      <c r="W465" s="365"/>
    </row>
    <row r="466" spans="8:23" s="4" customFormat="1" ht="15">
      <c r="H466" s="5"/>
      <c r="I466" s="5"/>
      <c r="T466" s="5"/>
      <c r="U466"/>
      <c r="V466" s="5"/>
      <c r="W466" s="365"/>
    </row>
    <row r="467" spans="8:23" s="4" customFormat="1" ht="15">
      <c r="H467" s="5"/>
      <c r="I467" s="5"/>
      <c r="T467" s="5"/>
      <c r="U467"/>
      <c r="V467" s="5"/>
      <c r="W467" s="365"/>
    </row>
    <row r="468" spans="8:23" s="4" customFormat="1" ht="15">
      <c r="H468" s="5"/>
      <c r="I468" s="5"/>
      <c r="T468" s="5"/>
      <c r="U468"/>
      <c r="V468" s="5"/>
      <c r="W468" s="365"/>
    </row>
    <row r="469" spans="8:23" s="4" customFormat="1" ht="15">
      <c r="H469" s="5"/>
      <c r="I469" s="5"/>
      <c r="T469" s="5"/>
      <c r="U469"/>
      <c r="V469" s="5"/>
      <c r="W469" s="365"/>
    </row>
    <row r="470" spans="8:23" s="4" customFormat="1" ht="15">
      <c r="H470" s="5"/>
      <c r="I470" s="5"/>
      <c r="T470" s="5"/>
      <c r="U470"/>
      <c r="V470" s="5"/>
      <c r="W470" s="365"/>
    </row>
    <row r="471" spans="8:23" s="4" customFormat="1" ht="15">
      <c r="H471" s="5"/>
      <c r="I471" s="5"/>
      <c r="T471" s="5"/>
      <c r="U471"/>
      <c r="V471" s="5"/>
      <c r="W471" s="365"/>
    </row>
    <row r="472" spans="8:23" s="4" customFormat="1" ht="15">
      <c r="H472" s="5"/>
      <c r="I472" s="5"/>
      <c r="T472" s="5"/>
      <c r="U472"/>
      <c r="V472" s="5"/>
      <c r="W472" s="365"/>
    </row>
    <row r="473" spans="8:23" s="4" customFormat="1" ht="15">
      <c r="H473" s="5"/>
      <c r="I473" s="5"/>
      <c r="T473" s="5"/>
      <c r="U473"/>
      <c r="V473" s="5"/>
      <c r="W473" s="365"/>
    </row>
    <row r="474" spans="8:23" s="4" customFormat="1" ht="15">
      <c r="H474" s="5"/>
      <c r="I474" s="5"/>
      <c r="T474" s="5"/>
      <c r="U474"/>
      <c r="V474" s="5"/>
      <c r="W474" s="365"/>
    </row>
    <row r="475" spans="8:23" s="4" customFormat="1" ht="15">
      <c r="H475" s="5"/>
      <c r="I475" s="5"/>
      <c r="T475" s="5"/>
      <c r="U475"/>
      <c r="V475" s="5"/>
      <c r="W475" s="365"/>
    </row>
    <row r="476" spans="8:23" s="4" customFormat="1" ht="15">
      <c r="H476" s="5"/>
      <c r="I476" s="5"/>
      <c r="T476" s="5"/>
      <c r="U476"/>
      <c r="V476" s="5"/>
      <c r="W476" s="365"/>
    </row>
    <row r="477" spans="8:23" s="4" customFormat="1" ht="15">
      <c r="H477" s="5"/>
      <c r="I477" s="5"/>
      <c r="T477" s="5"/>
      <c r="U477"/>
      <c r="V477" s="5"/>
      <c r="W477" s="365"/>
    </row>
    <row r="478" spans="8:23" s="4" customFormat="1" ht="15">
      <c r="H478" s="5"/>
      <c r="I478" s="5"/>
      <c r="T478" s="5"/>
      <c r="U478"/>
      <c r="V478" s="5"/>
      <c r="W478" s="365"/>
    </row>
    <row r="479" spans="8:23" s="4" customFormat="1" ht="15">
      <c r="H479" s="5"/>
      <c r="I479" s="5"/>
      <c r="T479" s="5"/>
      <c r="U479"/>
      <c r="V479" s="5"/>
      <c r="W479" s="365"/>
    </row>
    <row r="480" spans="8:23" s="4" customFormat="1" ht="15">
      <c r="H480" s="5"/>
      <c r="I480" s="5"/>
      <c r="T480" s="5"/>
      <c r="U480"/>
      <c r="V480" s="5"/>
      <c r="W480" s="365"/>
    </row>
    <row r="481" spans="8:23" s="4" customFormat="1" ht="15">
      <c r="H481" s="5"/>
      <c r="I481" s="5"/>
      <c r="T481" s="5"/>
      <c r="U481"/>
      <c r="V481" s="5"/>
      <c r="W481" s="365"/>
    </row>
    <row r="482" spans="8:23" s="4" customFormat="1" ht="15">
      <c r="H482" s="5"/>
      <c r="I482" s="5"/>
      <c r="T482" s="5"/>
      <c r="U482"/>
      <c r="V482" s="5"/>
      <c r="W482" s="365"/>
    </row>
    <row r="483" spans="8:23" s="4" customFormat="1" ht="15">
      <c r="H483" s="5"/>
      <c r="I483" s="5"/>
      <c r="T483" s="5"/>
      <c r="U483"/>
      <c r="V483" s="5"/>
      <c r="W483" s="365"/>
    </row>
    <row r="484" spans="8:23" s="4" customFormat="1" ht="15">
      <c r="H484" s="5"/>
      <c r="I484" s="5"/>
      <c r="T484" s="5"/>
      <c r="U484"/>
      <c r="V484" s="5"/>
      <c r="W484" s="365"/>
    </row>
    <row r="485" spans="8:23" s="4" customFormat="1" ht="15">
      <c r="H485" s="5"/>
      <c r="I485" s="5"/>
      <c r="T485" s="5"/>
      <c r="U485"/>
      <c r="V485" s="5"/>
      <c r="W485" s="365"/>
    </row>
    <row r="486" spans="8:23" s="4" customFormat="1" ht="15">
      <c r="H486" s="5"/>
      <c r="I486" s="5"/>
      <c r="T486" s="5"/>
      <c r="U486"/>
      <c r="V486" s="5"/>
      <c r="W486" s="365"/>
    </row>
    <row r="487" spans="8:23" s="4" customFormat="1" ht="15">
      <c r="H487" s="5"/>
      <c r="I487" s="5"/>
      <c r="T487" s="5"/>
      <c r="U487"/>
      <c r="V487" s="5"/>
      <c r="W487" s="365"/>
    </row>
    <row r="488" spans="8:23" s="4" customFormat="1" ht="15">
      <c r="H488" s="5"/>
      <c r="I488" s="5"/>
      <c r="T488" s="5"/>
      <c r="U488"/>
      <c r="V488" s="5"/>
      <c r="W488" s="365"/>
    </row>
    <row r="489" spans="8:23" s="4" customFormat="1" ht="15">
      <c r="H489" s="5"/>
      <c r="I489" s="5"/>
      <c r="T489" s="5"/>
      <c r="U489"/>
      <c r="V489" s="5"/>
      <c r="W489" s="365"/>
    </row>
    <row r="490" spans="8:23" s="4" customFormat="1" ht="15">
      <c r="H490" s="5"/>
      <c r="I490" s="5"/>
      <c r="T490" s="5"/>
      <c r="U490"/>
      <c r="V490" s="5"/>
      <c r="W490" s="365"/>
    </row>
    <row r="491" spans="8:23" s="4" customFormat="1" ht="15">
      <c r="H491" s="5"/>
      <c r="I491" s="5"/>
      <c r="T491" s="5"/>
      <c r="U491"/>
      <c r="V491" s="5"/>
      <c r="W491" s="365"/>
    </row>
    <row r="492" spans="8:23" s="4" customFormat="1" ht="15">
      <c r="H492" s="5"/>
      <c r="I492" s="5"/>
      <c r="T492" s="5"/>
      <c r="U492"/>
      <c r="V492" s="5"/>
      <c r="W492" s="365"/>
    </row>
    <row r="493" spans="8:23" s="4" customFormat="1" ht="15">
      <c r="H493" s="5"/>
      <c r="I493" s="5"/>
      <c r="T493" s="5"/>
      <c r="U493"/>
      <c r="V493" s="5"/>
      <c r="W493" s="365"/>
    </row>
    <row r="494" spans="8:23" s="4" customFormat="1" ht="15">
      <c r="H494" s="5"/>
      <c r="I494" s="5"/>
      <c r="T494" s="5"/>
      <c r="U494"/>
      <c r="V494" s="5"/>
      <c r="W494" s="365"/>
    </row>
    <row r="495" spans="8:23" s="4" customFormat="1" ht="15">
      <c r="H495" s="5"/>
      <c r="I495" s="5"/>
      <c r="T495" s="5"/>
      <c r="U495"/>
      <c r="V495" s="5"/>
      <c r="W495" s="365"/>
    </row>
    <row r="496" spans="8:23" s="4" customFormat="1" ht="15">
      <c r="H496" s="5"/>
      <c r="I496" s="5"/>
      <c r="T496" s="5"/>
      <c r="U496"/>
      <c r="V496" s="5"/>
      <c r="W496" s="365"/>
    </row>
    <row r="497" spans="8:23" s="4" customFormat="1" ht="15">
      <c r="H497" s="5"/>
      <c r="I497" s="5"/>
      <c r="T497" s="5"/>
      <c r="U497"/>
      <c r="V497" s="5"/>
      <c r="W497" s="365"/>
    </row>
    <row r="498" spans="8:23" s="4" customFormat="1" ht="15">
      <c r="H498" s="5"/>
      <c r="I498" s="5"/>
      <c r="T498" s="5"/>
      <c r="U498"/>
      <c r="V498" s="5"/>
      <c r="W498" s="365"/>
    </row>
    <row r="499" spans="8:23" s="4" customFormat="1" ht="15">
      <c r="H499" s="5"/>
      <c r="I499" s="5"/>
      <c r="T499" s="5"/>
      <c r="U499"/>
      <c r="V499" s="5"/>
      <c r="W499" s="365"/>
    </row>
    <row r="500" spans="8:23" s="4" customFormat="1" ht="15">
      <c r="H500" s="5"/>
      <c r="I500" s="5"/>
      <c r="T500" s="5"/>
      <c r="U500"/>
      <c r="V500" s="5"/>
      <c r="W500" s="365"/>
    </row>
    <row r="501" spans="8:23" s="4" customFormat="1" ht="15">
      <c r="H501" s="5"/>
      <c r="I501" s="5"/>
      <c r="T501" s="5"/>
      <c r="U501"/>
      <c r="V501" s="5"/>
      <c r="W501" s="365"/>
    </row>
    <row r="502" spans="8:23" s="4" customFormat="1" ht="15">
      <c r="H502" s="5"/>
      <c r="I502" s="5"/>
      <c r="T502" s="5"/>
      <c r="U502"/>
      <c r="V502" s="5"/>
      <c r="W502" s="365"/>
    </row>
    <row r="503" spans="8:23" s="4" customFormat="1" ht="15">
      <c r="H503" s="5"/>
      <c r="I503" s="5"/>
      <c r="T503" s="5"/>
      <c r="U503"/>
      <c r="V503" s="5"/>
      <c r="W503" s="365"/>
    </row>
    <row r="504" spans="8:23" s="4" customFormat="1" ht="15">
      <c r="H504" s="5"/>
      <c r="I504" s="5"/>
      <c r="T504" s="5"/>
      <c r="U504"/>
      <c r="V504" s="5"/>
      <c r="W504" s="365"/>
    </row>
    <row r="505" spans="8:23" s="4" customFormat="1" ht="15">
      <c r="H505" s="5"/>
      <c r="I505" s="5"/>
      <c r="T505" s="5"/>
      <c r="U505"/>
      <c r="V505" s="5"/>
      <c r="W505" s="365"/>
    </row>
    <row r="506" spans="8:23" s="4" customFormat="1" ht="15">
      <c r="H506" s="5"/>
      <c r="I506" s="5"/>
      <c r="T506" s="5"/>
      <c r="U506"/>
      <c r="V506" s="5"/>
      <c r="W506" s="365"/>
    </row>
    <row r="507" spans="8:23" s="4" customFormat="1" ht="15">
      <c r="H507" s="5"/>
      <c r="I507" s="5"/>
      <c r="T507" s="5"/>
      <c r="U507"/>
      <c r="V507" s="5"/>
      <c r="W507" s="365"/>
    </row>
    <row r="508" spans="8:23" s="4" customFormat="1" ht="15">
      <c r="H508" s="5"/>
      <c r="I508" s="5"/>
      <c r="T508" s="5"/>
      <c r="U508"/>
      <c r="V508" s="5"/>
      <c r="W508" s="365"/>
    </row>
    <row r="509" spans="8:23" s="4" customFormat="1" ht="15">
      <c r="H509" s="5"/>
      <c r="I509" s="5"/>
      <c r="T509" s="5"/>
      <c r="U509"/>
      <c r="V509" s="5"/>
      <c r="W509" s="365"/>
    </row>
    <row r="510" spans="8:23" s="4" customFormat="1" ht="15">
      <c r="H510" s="5"/>
      <c r="I510" s="5"/>
      <c r="T510" s="5"/>
      <c r="U510"/>
      <c r="V510" s="5"/>
      <c r="W510" s="365"/>
    </row>
    <row r="511" spans="8:23" s="4" customFormat="1" ht="15">
      <c r="H511" s="5"/>
      <c r="I511" s="5"/>
      <c r="T511" s="5"/>
      <c r="U511"/>
      <c r="V511" s="5"/>
      <c r="W511" s="365"/>
    </row>
    <row r="512" spans="8:23" s="4" customFormat="1" ht="15">
      <c r="H512" s="5"/>
      <c r="I512" s="5"/>
      <c r="T512" s="5"/>
      <c r="U512"/>
      <c r="V512" s="5"/>
      <c r="W512" s="365"/>
    </row>
    <row r="513" spans="8:23" s="4" customFormat="1" ht="15">
      <c r="H513" s="5"/>
      <c r="I513" s="5"/>
      <c r="T513" s="5"/>
      <c r="U513"/>
      <c r="V513" s="5"/>
      <c r="W513" s="365"/>
    </row>
    <row r="514" spans="8:23" s="4" customFormat="1" ht="15">
      <c r="H514" s="5"/>
      <c r="I514" s="5"/>
      <c r="T514" s="5"/>
      <c r="U514"/>
      <c r="V514" s="5"/>
      <c r="W514" s="365"/>
    </row>
    <row r="515" spans="8:23" s="4" customFormat="1" ht="15">
      <c r="H515" s="5"/>
      <c r="I515" s="5"/>
      <c r="T515" s="5"/>
      <c r="U515"/>
      <c r="V515" s="5"/>
      <c r="W515" s="365"/>
    </row>
    <row r="516" spans="8:23" s="4" customFormat="1" ht="15">
      <c r="H516" s="5"/>
      <c r="I516" s="5"/>
      <c r="T516" s="5"/>
      <c r="U516"/>
      <c r="V516" s="5"/>
      <c r="W516" s="365"/>
    </row>
    <row r="517" spans="8:23" s="4" customFormat="1" ht="15">
      <c r="H517" s="5"/>
      <c r="I517" s="5"/>
      <c r="T517" s="5"/>
      <c r="U517"/>
      <c r="V517" s="5"/>
      <c r="W517" s="365"/>
    </row>
    <row r="518" spans="8:23" s="4" customFormat="1" ht="15">
      <c r="H518" s="5"/>
      <c r="I518" s="5"/>
      <c r="T518" s="5"/>
      <c r="U518"/>
      <c r="V518" s="5"/>
      <c r="W518" s="365"/>
    </row>
    <row r="519" spans="8:23" s="4" customFormat="1" ht="15">
      <c r="H519" s="5"/>
      <c r="I519" s="5"/>
      <c r="T519" s="5"/>
      <c r="U519"/>
      <c r="V519" s="5"/>
      <c r="W519" s="365"/>
    </row>
    <row r="520" spans="8:23" s="4" customFormat="1" ht="15">
      <c r="H520" s="5"/>
      <c r="I520" s="5"/>
      <c r="T520" s="5"/>
      <c r="U520"/>
      <c r="V520" s="5"/>
      <c r="W520" s="365"/>
    </row>
    <row r="521" spans="8:23" s="4" customFormat="1" ht="15">
      <c r="H521" s="5"/>
      <c r="I521" s="5"/>
      <c r="T521" s="5"/>
      <c r="U521"/>
      <c r="V521" s="5"/>
      <c r="W521" s="365"/>
    </row>
    <row r="522" spans="8:23" s="4" customFormat="1" ht="15">
      <c r="H522" s="5"/>
      <c r="I522" s="5"/>
      <c r="T522" s="5"/>
      <c r="U522"/>
      <c r="V522" s="5"/>
      <c r="W522" s="365"/>
    </row>
    <row r="523" spans="8:23" s="4" customFormat="1" ht="15">
      <c r="H523" s="5"/>
      <c r="I523" s="5"/>
      <c r="T523" s="5"/>
      <c r="U523"/>
      <c r="V523" s="5"/>
      <c r="W523" s="365"/>
    </row>
    <row r="524" spans="8:23" s="4" customFormat="1" ht="15">
      <c r="H524" s="5"/>
      <c r="I524" s="5"/>
      <c r="T524" s="5"/>
      <c r="U524"/>
      <c r="V524" s="5"/>
      <c r="W524" s="365"/>
    </row>
    <row r="525" spans="8:23" s="4" customFormat="1" ht="15">
      <c r="H525" s="5"/>
      <c r="I525" s="5"/>
      <c r="T525" s="5"/>
      <c r="U525"/>
      <c r="V525" s="5"/>
      <c r="W525" s="365"/>
    </row>
    <row r="526" spans="8:23" s="4" customFormat="1" ht="15">
      <c r="H526" s="5"/>
      <c r="I526" s="5"/>
      <c r="T526" s="5"/>
      <c r="U526"/>
      <c r="V526" s="5"/>
      <c r="W526" s="365"/>
    </row>
    <row r="527" spans="8:23" s="4" customFormat="1" ht="15">
      <c r="H527" s="5"/>
      <c r="I527" s="5"/>
      <c r="T527" s="5"/>
      <c r="U527"/>
      <c r="V527" s="5"/>
      <c r="W527" s="365"/>
    </row>
    <row r="528" spans="8:23" s="4" customFormat="1" ht="15">
      <c r="H528" s="5"/>
      <c r="I528" s="5"/>
      <c r="T528" s="5"/>
      <c r="U528"/>
      <c r="V528" s="5"/>
      <c r="W528" s="365"/>
    </row>
    <row r="529" spans="8:23" s="4" customFormat="1" ht="15">
      <c r="H529" s="5"/>
      <c r="I529" s="5"/>
      <c r="T529" s="5"/>
      <c r="U529"/>
      <c r="V529" s="5"/>
      <c r="W529" s="365"/>
    </row>
    <row r="530" spans="8:23" s="4" customFormat="1" ht="15">
      <c r="H530" s="5"/>
      <c r="I530" s="5"/>
      <c r="T530" s="5"/>
      <c r="U530"/>
      <c r="V530" s="5"/>
      <c r="W530" s="365"/>
    </row>
    <row r="531" spans="8:23" s="4" customFormat="1" ht="15">
      <c r="H531" s="5"/>
      <c r="I531" s="5"/>
      <c r="T531" s="5"/>
      <c r="U531"/>
      <c r="V531" s="5"/>
      <c r="W531" s="365"/>
    </row>
    <row r="532" spans="8:23" s="4" customFormat="1" ht="15">
      <c r="H532" s="5"/>
      <c r="I532" s="5"/>
      <c r="T532" s="5"/>
      <c r="U532"/>
      <c r="V532" s="5"/>
      <c r="W532" s="365"/>
    </row>
    <row r="533" spans="8:23" s="4" customFormat="1" ht="15">
      <c r="H533" s="5"/>
      <c r="I533" s="5"/>
      <c r="T533" s="5"/>
      <c r="U533"/>
      <c r="V533" s="5"/>
      <c r="W533" s="365"/>
    </row>
    <row r="534" spans="8:23" s="4" customFormat="1" ht="15">
      <c r="H534" s="5"/>
      <c r="I534" s="5"/>
      <c r="T534" s="5"/>
      <c r="U534"/>
      <c r="V534" s="5"/>
      <c r="W534" s="365"/>
    </row>
    <row r="535" spans="8:23" s="4" customFormat="1" ht="15">
      <c r="H535" s="5"/>
      <c r="I535" s="5"/>
      <c r="T535" s="5"/>
      <c r="U535"/>
      <c r="V535" s="5"/>
      <c r="W535" s="365"/>
    </row>
    <row r="536" spans="8:23" s="4" customFormat="1" ht="15">
      <c r="H536" s="5"/>
      <c r="I536" s="5"/>
      <c r="T536" s="5"/>
      <c r="U536"/>
      <c r="V536" s="5"/>
      <c r="W536" s="365"/>
    </row>
    <row r="537" spans="8:23" s="4" customFormat="1" ht="15">
      <c r="H537" s="5"/>
      <c r="I537" s="5"/>
      <c r="T537" s="5"/>
      <c r="U537"/>
      <c r="V537" s="5"/>
      <c r="W537" s="365"/>
    </row>
    <row r="538" spans="8:23" s="4" customFormat="1" ht="15">
      <c r="H538" s="5"/>
      <c r="I538" s="5"/>
      <c r="T538" s="5"/>
      <c r="U538"/>
      <c r="V538" s="5"/>
      <c r="W538" s="365"/>
    </row>
    <row r="539" spans="8:23" s="4" customFormat="1" ht="15">
      <c r="H539" s="5"/>
      <c r="I539" s="5"/>
      <c r="T539" s="5"/>
      <c r="U539"/>
      <c r="V539" s="5"/>
      <c r="W539" s="365"/>
    </row>
    <row r="540" spans="8:23" s="4" customFormat="1" ht="15">
      <c r="H540" s="5"/>
      <c r="I540" s="5"/>
      <c r="T540" s="5"/>
      <c r="U540"/>
      <c r="V540" s="5"/>
      <c r="W540" s="365"/>
    </row>
    <row r="541" spans="8:23" s="4" customFormat="1" ht="15">
      <c r="H541" s="5"/>
      <c r="I541" s="5"/>
      <c r="T541" s="5"/>
      <c r="U541"/>
      <c r="V541" s="5"/>
      <c r="W541" s="365"/>
    </row>
    <row r="542" spans="8:23" s="4" customFormat="1" ht="15">
      <c r="H542" s="5"/>
      <c r="I542" s="5"/>
      <c r="T542" s="5"/>
      <c r="U542"/>
      <c r="V542" s="5"/>
      <c r="W542" s="365"/>
    </row>
    <row r="543" spans="8:23" s="4" customFormat="1" ht="15">
      <c r="H543" s="5"/>
      <c r="I543" s="5"/>
      <c r="T543" s="5"/>
      <c r="U543"/>
      <c r="V543" s="5"/>
      <c r="W543" s="365"/>
    </row>
    <row r="544" spans="8:23" s="4" customFormat="1" ht="15">
      <c r="H544" s="5"/>
      <c r="I544" s="5"/>
      <c r="T544" s="5"/>
      <c r="U544"/>
      <c r="V544" s="5"/>
      <c r="W544" s="365"/>
    </row>
    <row r="545" spans="8:23" s="4" customFormat="1" ht="15">
      <c r="H545" s="5"/>
      <c r="I545" s="5"/>
      <c r="T545" s="5"/>
      <c r="U545"/>
      <c r="V545" s="5"/>
      <c r="W545" s="365"/>
    </row>
    <row r="546" spans="8:23" s="4" customFormat="1" ht="15">
      <c r="H546" s="5"/>
      <c r="I546" s="5"/>
      <c r="T546" s="5"/>
      <c r="U546"/>
      <c r="V546" s="5"/>
      <c r="W546" s="365"/>
    </row>
    <row r="547" spans="8:23" s="4" customFormat="1" ht="15">
      <c r="H547" s="5"/>
      <c r="I547" s="5"/>
      <c r="T547" s="5"/>
      <c r="U547"/>
      <c r="V547" s="5"/>
      <c r="W547" s="365"/>
    </row>
    <row r="548" spans="8:23" s="4" customFormat="1" ht="15">
      <c r="H548" s="5"/>
      <c r="I548" s="5"/>
      <c r="T548" s="5"/>
      <c r="U548"/>
      <c r="V548" s="5"/>
      <c r="W548" s="365"/>
    </row>
    <row r="549" spans="8:23" s="4" customFormat="1" ht="15">
      <c r="H549" s="5"/>
      <c r="I549" s="5"/>
      <c r="T549" s="5"/>
      <c r="U549"/>
      <c r="V549" s="5"/>
      <c r="W549" s="365"/>
    </row>
    <row r="550" spans="8:23" s="4" customFormat="1" ht="15">
      <c r="H550" s="5"/>
      <c r="I550" s="5"/>
      <c r="T550" s="5"/>
      <c r="U550"/>
      <c r="V550" s="5"/>
      <c r="W550" s="365"/>
    </row>
    <row r="551" spans="8:23" s="4" customFormat="1" ht="15">
      <c r="H551" s="5"/>
      <c r="I551" s="5"/>
      <c r="T551" s="5"/>
      <c r="U551"/>
      <c r="V551" s="5"/>
      <c r="W551" s="365"/>
    </row>
    <row r="552" spans="8:23" s="4" customFormat="1" ht="15">
      <c r="H552" s="5"/>
      <c r="I552" s="5"/>
      <c r="T552" s="5"/>
      <c r="U552"/>
      <c r="V552" s="5"/>
      <c r="W552" s="365"/>
    </row>
    <row r="553" spans="8:23" s="4" customFormat="1" ht="15">
      <c r="H553" s="5"/>
      <c r="I553" s="5"/>
      <c r="T553" s="5"/>
      <c r="U553"/>
      <c r="V553" s="5"/>
      <c r="W553" s="365"/>
    </row>
    <row r="554" spans="8:23" s="4" customFormat="1" ht="15">
      <c r="H554" s="5"/>
      <c r="I554" s="5"/>
      <c r="T554" s="5"/>
      <c r="U554"/>
      <c r="V554" s="5"/>
      <c r="W554" s="365"/>
    </row>
    <row r="555" spans="8:23" s="4" customFormat="1" ht="15">
      <c r="H555" s="5"/>
      <c r="I555" s="5"/>
      <c r="T555" s="5"/>
      <c r="U555"/>
      <c r="V555" s="5"/>
      <c r="W555" s="365"/>
    </row>
    <row r="556" spans="8:23" s="4" customFormat="1" ht="15">
      <c r="H556" s="5"/>
      <c r="I556" s="5"/>
      <c r="T556" s="5"/>
      <c r="U556"/>
      <c r="V556" s="5"/>
      <c r="W556" s="365"/>
    </row>
    <row r="557" spans="8:23" s="4" customFormat="1" ht="15">
      <c r="H557" s="5"/>
      <c r="I557" s="5"/>
      <c r="T557" s="5"/>
      <c r="U557"/>
      <c r="V557" s="5"/>
      <c r="W557" s="365"/>
    </row>
    <row r="558" spans="8:23" s="4" customFormat="1" ht="15">
      <c r="H558" s="5"/>
      <c r="I558" s="5"/>
      <c r="T558" s="5"/>
      <c r="U558"/>
      <c r="V558" s="5"/>
      <c r="W558" s="365"/>
    </row>
    <row r="559" spans="8:23" s="4" customFormat="1" ht="15">
      <c r="H559" s="5"/>
      <c r="I559" s="5"/>
      <c r="T559" s="5"/>
      <c r="U559"/>
      <c r="V559" s="5"/>
      <c r="W559" s="365"/>
    </row>
    <row r="560" spans="8:23" s="4" customFormat="1" ht="15">
      <c r="H560" s="5"/>
      <c r="I560" s="5"/>
      <c r="T560" s="5"/>
      <c r="U560"/>
      <c r="V560" s="5"/>
      <c r="W560" s="365"/>
    </row>
    <row r="561" spans="8:23" s="4" customFormat="1" ht="15">
      <c r="H561" s="5"/>
      <c r="I561" s="5"/>
      <c r="T561" s="5"/>
      <c r="U561"/>
      <c r="V561" s="5"/>
      <c r="W561" s="365"/>
    </row>
    <row r="562" spans="8:23" s="4" customFormat="1" ht="15">
      <c r="H562" s="5"/>
      <c r="I562" s="5"/>
      <c r="T562" s="5"/>
      <c r="U562"/>
      <c r="V562" s="5"/>
      <c r="W562" s="365"/>
    </row>
    <row r="563" spans="8:23" s="4" customFormat="1" ht="15">
      <c r="H563" s="5"/>
      <c r="I563" s="5"/>
      <c r="T563" s="5"/>
      <c r="U563"/>
      <c r="V563" s="5"/>
      <c r="W563" s="365"/>
    </row>
    <row r="564" spans="8:23" s="4" customFormat="1" ht="15">
      <c r="H564" s="5"/>
      <c r="I564" s="5"/>
      <c r="T564" s="5"/>
      <c r="U564"/>
      <c r="V564" s="5"/>
      <c r="W564" s="365"/>
    </row>
    <row r="565" spans="8:23" s="4" customFormat="1" ht="15">
      <c r="H565" s="5"/>
      <c r="I565" s="5"/>
      <c r="T565" s="5"/>
      <c r="U565"/>
      <c r="V565" s="5"/>
      <c r="W565" s="365"/>
    </row>
    <row r="566" spans="8:23" s="4" customFormat="1" ht="15">
      <c r="H566" s="5"/>
      <c r="I566" s="5"/>
      <c r="T566" s="5"/>
      <c r="U566"/>
      <c r="V566" s="5"/>
      <c r="W566" s="365"/>
    </row>
    <row r="567" spans="8:23" s="4" customFormat="1" ht="15">
      <c r="H567" s="5"/>
      <c r="I567" s="5"/>
      <c r="T567" s="5"/>
      <c r="U567"/>
      <c r="V567" s="5"/>
      <c r="W567" s="365"/>
    </row>
    <row r="568" spans="8:23" s="4" customFormat="1" ht="15">
      <c r="H568" s="5"/>
      <c r="I568" s="5"/>
      <c r="T568" s="5"/>
      <c r="U568"/>
      <c r="V568" s="5"/>
      <c r="W568" s="365"/>
    </row>
    <row r="569" spans="8:23" s="4" customFormat="1" ht="15">
      <c r="H569" s="5"/>
      <c r="I569" s="5"/>
      <c r="T569" s="5"/>
      <c r="U569"/>
      <c r="V569" s="5"/>
      <c r="W569" s="365"/>
    </row>
    <row r="570" spans="8:23" s="4" customFormat="1" ht="15">
      <c r="H570" s="5"/>
      <c r="I570" s="5"/>
      <c r="T570" s="5"/>
      <c r="U570"/>
      <c r="V570" s="5"/>
      <c r="W570" s="365"/>
    </row>
    <row r="571" spans="8:23" s="4" customFormat="1" ht="15">
      <c r="H571" s="5"/>
      <c r="I571" s="5"/>
      <c r="T571" s="5"/>
      <c r="U571"/>
      <c r="V571" s="5"/>
      <c r="W571" s="365"/>
    </row>
    <row r="572" spans="8:23" s="4" customFormat="1" ht="15">
      <c r="H572" s="5"/>
      <c r="I572" s="5"/>
      <c r="T572" s="5"/>
      <c r="U572"/>
      <c r="V572" s="5"/>
      <c r="W572" s="365"/>
    </row>
    <row r="573" spans="8:23" s="4" customFormat="1" ht="15">
      <c r="H573" s="5"/>
      <c r="I573" s="5"/>
      <c r="T573" s="5"/>
      <c r="U573"/>
      <c r="V573" s="5"/>
      <c r="W573" s="365"/>
    </row>
    <row r="574" spans="8:23" s="4" customFormat="1" ht="15">
      <c r="H574" s="5"/>
      <c r="I574" s="5"/>
      <c r="T574" s="5"/>
      <c r="U574"/>
      <c r="V574" s="5"/>
      <c r="W574" s="365"/>
    </row>
    <row r="575" spans="8:23" s="4" customFormat="1" ht="15">
      <c r="H575" s="5"/>
      <c r="I575" s="5"/>
      <c r="T575" s="5"/>
      <c r="U575"/>
      <c r="V575" s="5"/>
      <c r="W575" s="365"/>
    </row>
    <row r="576" spans="8:23" s="4" customFormat="1" ht="15">
      <c r="H576" s="5"/>
      <c r="I576" s="5"/>
      <c r="T576" s="5"/>
      <c r="U576"/>
      <c r="V576" s="5"/>
      <c r="W576" s="365"/>
    </row>
    <row r="577" spans="8:23" s="4" customFormat="1" ht="15">
      <c r="H577" s="5"/>
      <c r="I577" s="5"/>
      <c r="T577" s="5"/>
      <c r="U577"/>
      <c r="V577" s="5"/>
      <c r="W577" s="365"/>
    </row>
    <row r="578" spans="8:23" s="4" customFormat="1" ht="15">
      <c r="H578" s="5"/>
      <c r="I578" s="5"/>
      <c r="T578" s="5"/>
      <c r="U578"/>
      <c r="V578" s="5"/>
      <c r="W578" s="365"/>
    </row>
    <row r="579" spans="8:23" s="4" customFormat="1" ht="15">
      <c r="H579" s="5"/>
      <c r="I579" s="5"/>
      <c r="T579" s="5"/>
      <c r="U579"/>
      <c r="V579" s="5"/>
      <c r="W579" s="365"/>
    </row>
    <row r="580" spans="8:23" s="4" customFormat="1" ht="15">
      <c r="H580" s="5"/>
      <c r="I580" s="5"/>
      <c r="T580" s="5"/>
      <c r="U580"/>
      <c r="V580" s="5"/>
      <c r="W580" s="365"/>
    </row>
    <row r="581" spans="8:23" s="4" customFormat="1" ht="15">
      <c r="H581" s="5"/>
      <c r="I581" s="5"/>
      <c r="T581" s="5"/>
      <c r="U581"/>
      <c r="V581" s="5"/>
      <c r="W581" s="365"/>
    </row>
    <row r="582" spans="8:23" s="4" customFormat="1" ht="15">
      <c r="H582" s="5"/>
      <c r="I582" s="5"/>
      <c r="T582" s="5"/>
      <c r="U582"/>
      <c r="V582" s="5"/>
      <c r="W582" s="365"/>
    </row>
    <row r="583" spans="8:23" s="4" customFormat="1" ht="15">
      <c r="H583" s="5"/>
      <c r="I583" s="5"/>
      <c r="T583" s="5"/>
      <c r="U583"/>
      <c r="V583" s="5"/>
      <c r="W583" s="365"/>
    </row>
    <row r="584" spans="8:23" s="4" customFormat="1" ht="15">
      <c r="H584" s="5"/>
      <c r="I584" s="5"/>
      <c r="T584" s="5"/>
      <c r="U584"/>
      <c r="V584" s="5"/>
      <c r="W584" s="365"/>
    </row>
    <row r="585" spans="8:23" s="4" customFormat="1" ht="15">
      <c r="H585" s="5"/>
      <c r="I585" s="5"/>
      <c r="T585" s="5"/>
      <c r="U585"/>
      <c r="V585" s="5"/>
      <c r="W585" s="365"/>
    </row>
    <row r="586" spans="8:23" s="4" customFormat="1" ht="15">
      <c r="H586" s="5"/>
      <c r="I586" s="5"/>
      <c r="T586" s="5"/>
      <c r="U586"/>
      <c r="V586" s="5"/>
      <c r="W586" s="365"/>
    </row>
    <row r="587" spans="8:23" s="4" customFormat="1" ht="15">
      <c r="H587" s="5"/>
      <c r="I587" s="5"/>
      <c r="T587" s="5"/>
      <c r="U587"/>
      <c r="V587" s="5"/>
      <c r="W587" s="365"/>
    </row>
    <row r="588" spans="8:23" s="4" customFormat="1" ht="15">
      <c r="H588" s="5"/>
      <c r="I588" s="5"/>
      <c r="T588" s="5"/>
      <c r="U588"/>
      <c r="V588" s="5"/>
      <c r="W588" s="365"/>
    </row>
    <row r="589" spans="8:23" s="4" customFormat="1" ht="15">
      <c r="H589" s="5"/>
      <c r="I589" s="5"/>
      <c r="T589" s="5"/>
      <c r="U589"/>
      <c r="V589" s="5"/>
      <c r="W589" s="365"/>
    </row>
    <row r="590" spans="8:23" s="4" customFormat="1" ht="15">
      <c r="H590" s="5"/>
      <c r="I590" s="5"/>
      <c r="T590" s="5"/>
      <c r="U590"/>
      <c r="V590" s="5"/>
      <c r="W590" s="365"/>
    </row>
    <row r="591" spans="8:23" s="4" customFormat="1" ht="15">
      <c r="H591" s="5"/>
      <c r="I591" s="5"/>
      <c r="T591" s="5"/>
      <c r="U591"/>
      <c r="V591" s="5"/>
      <c r="W591" s="365"/>
    </row>
    <row r="592" spans="8:23" s="4" customFormat="1" ht="15">
      <c r="H592" s="5"/>
      <c r="I592" s="5"/>
      <c r="T592" s="5"/>
      <c r="U592"/>
      <c r="V592" s="5"/>
      <c r="W592" s="365"/>
    </row>
    <row r="593" spans="8:23" s="4" customFormat="1" ht="15">
      <c r="H593" s="5"/>
      <c r="I593" s="5"/>
      <c r="T593" s="5"/>
      <c r="U593"/>
      <c r="V593" s="5"/>
      <c r="W593" s="365"/>
    </row>
    <row r="594" spans="8:23" s="4" customFormat="1" ht="15">
      <c r="H594" s="5"/>
      <c r="I594" s="5"/>
      <c r="T594" s="5"/>
      <c r="U594"/>
      <c r="V594" s="5"/>
      <c r="W594" s="365"/>
    </row>
    <row r="595" spans="8:23" s="4" customFormat="1" ht="15">
      <c r="H595" s="5"/>
      <c r="I595" s="5"/>
      <c r="T595" s="5"/>
      <c r="U595"/>
      <c r="V595" s="5"/>
      <c r="W595" s="365"/>
    </row>
    <row r="596" spans="8:23" s="4" customFormat="1" ht="15">
      <c r="H596" s="5"/>
      <c r="I596" s="5"/>
      <c r="T596" s="5"/>
      <c r="U596"/>
      <c r="V596" s="5"/>
      <c r="W596" s="365"/>
    </row>
    <row r="597" spans="8:23" s="4" customFormat="1" ht="15">
      <c r="H597" s="5"/>
      <c r="I597" s="5"/>
      <c r="T597" s="5"/>
      <c r="U597"/>
      <c r="V597" s="5"/>
      <c r="W597" s="365"/>
    </row>
    <row r="598" spans="8:23" s="4" customFormat="1" ht="15">
      <c r="H598" s="5"/>
      <c r="I598" s="5"/>
      <c r="T598" s="5"/>
      <c r="U598"/>
      <c r="V598" s="5"/>
      <c r="W598" s="365"/>
    </row>
    <row r="599" spans="8:23" s="4" customFormat="1" ht="15">
      <c r="H599" s="5"/>
      <c r="I599" s="5"/>
      <c r="T599" s="5"/>
      <c r="U599"/>
      <c r="V599" s="5"/>
      <c r="W599" s="365"/>
    </row>
    <row r="600" spans="8:23" s="4" customFormat="1" ht="15">
      <c r="H600" s="5"/>
      <c r="I600" s="5"/>
      <c r="T600" s="5"/>
      <c r="U600"/>
      <c r="V600" s="5"/>
      <c r="W600" s="365"/>
    </row>
    <row r="601" spans="8:23" s="4" customFormat="1" ht="15">
      <c r="H601" s="5"/>
      <c r="I601" s="5"/>
      <c r="T601" s="5"/>
      <c r="U601"/>
      <c r="V601" s="5"/>
      <c r="W601" s="365"/>
    </row>
    <row r="602" spans="8:23" s="4" customFormat="1" ht="15">
      <c r="H602" s="5"/>
      <c r="I602" s="5"/>
      <c r="T602" s="5"/>
      <c r="U602"/>
      <c r="V602" s="5"/>
      <c r="W602" s="365"/>
    </row>
    <row r="603" spans="8:23" s="4" customFormat="1" ht="15">
      <c r="H603" s="5"/>
      <c r="I603" s="5"/>
      <c r="T603" s="5"/>
      <c r="U603"/>
      <c r="V603" s="5"/>
      <c r="W603" s="365"/>
    </row>
    <row r="604" spans="8:23" s="4" customFormat="1" ht="15">
      <c r="H604" s="5"/>
      <c r="I604" s="5"/>
      <c r="T604" s="5"/>
      <c r="U604"/>
      <c r="V604" s="5"/>
      <c r="W604" s="365"/>
    </row>
    <row r="605" spans="8:23" s="4" customFormat="1" ht="15">
      <c r="H605" s="5"/>
      <c r="I605" s="5"/>
      <c r="T605" s="5"/>
      <c r="U605"/>
      <c r="V605" s="5"/>
      <c r="W605" s="365"/>
    </row>
    <row r="606" spans="8:23" s="4" customFormat="1" ht="15">
      <c r="H606" s="5"/>
      <c r="I606" s="5"/>
      <c r="T606" s="5"/>
      <c r="U606"/>
      <c r="V606" s="5"/>
      <c r="W606" s="365"/>
    </row>
    <row r="607" spans="8:23" s="4" customFormat="1" ht="15">
      <c r="H607" s="5"/>
      <c r="I607" s="5"/>
      <c r="T607" s="5"/>
      <c r="U607"/>
      <c r="V607" s="5"/>
      <c r="W607" s="365"/>
    </row>
    <row r="608" spans="8:23" s="4" customFormat="1" ht="15">
      <c r="H608" s="5"/>
      <c r="I608" s="5"/>
      <c r="T608" s="5"/>
      <c r="U608"/>
      <c r="V608" s="5"/>
      <c r="W608" s="365"/>
    </row>
    <row r="609" spans="8:23" s="4" customFormat="1" ht="15">
      <c r="H609" s="5"/>
      <c r="I609" s="5"/>
      <c r="T609" s="5"/>
      <c r="U609"/>
      <c r="V609" s="5"/>
      <c r="W609" s="365"/>
    </row>
    <row r="610" spans="8:23" s="4" customFormat="1" ht="15">
      <c r="H610" s="5"/>
      <c r="I610" s="5"/>
      <c r="T610" s="5"/>
      <c r="U610"/>
      <c r="V610" s="5"/>
      <c r="W610" s="365"/>
    </row>
    <row r="611" spans="8:23" s="4" customFormat="1" ht="15">
      <c r="H611" s="5"/>
      <c r="I611" s="5"/>
      <c r="T611" s="5"/>
      <c r="U611"/>
      <c r="V611" s="5"/>
      <c r="W611" s="365"/>
    </row>
    <row r="612" spans="8:23" s="4" customFormat="1" ht="15">
      <c r="H612" s="5"/>
      <c r="I612" s="5"/>
      <c r="T612" s="5"/>
      <c r="U612"/>
      <c r="V612" s="5"/>
      <c r="W612" s="365"/>
    </row>
    <row r="613" spans="8:23" s="4" customFormat="1" ht="15">
      <c r="H613" s="5"/>
      <c r="I613" s="5"/>
      <c r="T613" s="5"/>
      <c r="U613"/>
      <c r="V613" s="5"/>
      <c r="W613" s="365"/>
    </row>
    <row r="614" spans="8:23" s="4" customFormat="1" ht="15">
      <c r="H614" s="5"/>
      <c r="I614" s="5"/>
      <c r="T614" s="5"/>
      <c r="U614"/>
      <c r="V614" s="5"/>
      <c r="W614" s="365"/>
    </row>
    <row r="615" spans="8:23" s="4" customFormat="1" ht="15">
      <c r="H615" s="5"/>
      <c r="I615" s="5"/>
      <c r="T615" s="5"/>
      <c r="U615"/>
      <c r="V615" s="5"/>
      <c r="W615" s="365"/>
    </row>
    <row r="616" spans="8:23" s="4" customFormat="1" ht="15">
      <c r="H616" s="5"/>
      <c r="I616" s="5"/>
      <c r="T616" s="5"/>
      <c r="U616"/>
      <c r="V616" s="5"/>
      <c r="W616" s="365"/>
    </row>
    <row r="617" spans="8:23" s="4" customFormat="1" ht="15">
      <c r="H617" s="5"/>
      <c r="I617" s="5"/>
      <c r="T617" s="5"/>
      <c r="U617"/>
      <c r="V617" s="5"/>
      <c r="W617" s="365"/>
    </row>
    <row r="618" spans="8:23" s="4" customFormat="1" ht="15">
      <c r="H618" s="5"/>
      <c r="I618" s="5"/>
      <c r="T618" s="5"/>
      <c r="U618"/>
      <c r="V618" s="5"/>
      <c r="W618" s="365"/>
    </row>
    <row r="619" spans="8:23" s="4" customFormat="1" ht="15">
      <c r="H619" s="5"/>
      <c r="I619" s="5"/>
      <c r="T619" s="5"/>
      <c r="U619"/>
      <c r="V619" s="5"/>
      <c r="W619" s="365"/>
    </row>
    <row r="620" spans="8:23" s="4" customFormat="1" ht="15">
      <c r="H620" s="5"/>
      <c r="I620" s="5"/>
      <c r="T620" s="5"/>
      <c r="U620"/>
      <c r="V620" s="5"/>
      <c r="W620" s="365"/>
    </row>
    <row r="621" spans="8:23" s="4" customFormat="1" ht="15">
      <c r="H621" s="5"/>
      <c r="I621" s="5"/>
      <c r="T621" s="5"/>
      <c r="U621"/>
      <c r="V621" s="5"/>
      <c r="W621" s="365"/>
    </row>
    <row r="622" spans="8:23" s="4" customFormat="1" ht="15">
      <c r="H622" s="5"/>
      <c r="I622" s="5"/>
      <c r="T622" s="5"/>
      <c r="U622"/>
      <c r="V622" s="5"/>
      <c r="W622" s="365"/>
    </row>
    <row r="623" spans="8:23" s="4" customFormat="1" ht="15">
      <c r="H623" s="5"/>
      <c r="I623" s="5"/>
      <c r="T623" s="5"/>
      <c r="U623"/>
      <c r="V623" s="5"/>
      <c r="W623" s="365"/>
    </row>
    <row r="624" spans="8:23" s="4" customFormat="1" ht="15">
      <c r="H624" s="5"/>
      <c r="I624" s="5"/>
      <c r="T624" s="5"/>
      <c r="U624"/>
      <c r="V624" s="5"/>
      <c r="W624" s="365"/>
    </row>
    <row r="625" spans="8:23" s="4" customFormat="1" ht="15">
      <c r="H625" s="5"/>
      <c r="I625" s="5"/>
      <c r="T625" s="5"/>
      <c r="U625"/>
      <c r="V625" s="5"/>
      <c r="W625" s="365"/>
    </row>
    <row r="626" spans="8:23" s="4" customFormat="1" ht="15">
      <c r="H626" s="5"/>
      <c r="I626" s="5"/>
      <c r="T626" s="5"/>
      <c r="U626"/>
      <c r="V626" s="5"/>
      <c r="W626" s="365"/>
    </row>
    <row r="627" spans="8:23" s="4" customFormat="1" ht="15">
      <c r="H627" s="5"/>
      <c r="I627" s="5"/>
      <c r="T627" s="5"/>
      <c r="U627"/>
      <c r="V627" s="5"/>
      <c r="W627" s="365"/>
    </row>
    <row r="628" spans="8:23" s="4" customFormat="1" ht="15">
      <c r="H628" s="5"/>
      <c r="I628" s="5"/>
      <c r="T628" s="5"/>
      <c r="U628"/>
      <c r="V628" s="5"/>
      <c r="W628" s="365"/>
    </row>
    <row r="629" spans="8:23" s="4" customFormat="1" ht="15">
      <c r="H629" s="5"/>
      <c r="I629" s="5"/>
      <c r="T629" s="5"/>
      <c r="U629"/>
      <c r="V629" s="5"/>
      <c r="W629" s="365"/>
    </row>
    <row r="630" spans="8:23" s="4" customFormat="1" ht="15">
      <c r="H630" s="5"/>
      <c r="I630" s="5"/>
      <c r="T630" s="5"/>
      <c r="U630"/>
      <c r="V630" s="5"/>
      <c r="W630" s="365"/>
    </row>
    <row r="631" spans="8:23" s="4" customFormat="1" ht="15">
      <c r="H631" s="5"/>
      <c r="I631" s="5"/>
      <c r="T631" s="5"/>
      <c r="U631"/>
      <c r="V631" s="5"/>
      <c r="W631" s="365"/>
    </row>
    <row r="632" spans="8:23" s="4" customFormat="1" ht="15">
      <c r="H632" s="5"/>
      <c r="I632" s="5"/>
      <c r="T632" s="5"/>
      <c r="U632"/>
      <c r="V632" s="5"/>
      <c r="W632" s="365"/>
    </row>
    <row r="633" spans="8:23" s="4" customFormat="1" ht="15">
      <c r="H633" s="5"/>
      <c r="I633" s="5"/>
      <c r="T633" s="5"/>
      <c r="U633"/>
      <c r="V633" s="5"/>
      <c r="W633" s="365"/>
    </row>
    <row r="634" spans="8:23" s="4" customFormat="1" ht="15">
      <c r="H634" s="5"/>
      <c r="I634" s="5"/>
      <c r="T634" s="5"/>
      <c r="U634"/>
      <c r="V634" s="5"/>
      <c r="W634" s="365"/>
    </row>
    <row r="635" spans="8:23" s="4" customFormat="1" ht="15">
      <c r="H635" s="5"/>
      <c r="I635" s="5"/>
      <c r="T635" s="5"/>
      <c r="U635"/>
      <c r="V635" s="5"/>
      <c r="W635" s="365"/>
    </row>
    <row r="636" spans="8:23" s="4" customFormat="1" ht="15">
      <c r="H636" s="5"/>
      <c r="I636" s="5"/>
      <c r="T636" s="5"/>
      <c r="U636"/>
      <c r="V636" s="5"/>
      <c r="W636" s="365"/>
    </row>
    <row r="637" spans="8:23" s="4" customFormat="1" ht="15">
      <c r="H637" s="5"/>
      <c r="I637" s="5"/>
      <c r="T637" s="5"/>
      <c r="U637"/>
      <c r="V637" s="5"/>
      <c r="W637" s="365"/>
    </row>
    <row r="638" spans="8:23" s="4" customFormat="1" ht="15">
      <c r="H638" s="5"/>
      <c r="I638" s="5"/>
      <c r="T638" s="5"/>
      <c r="U638"/>
      <c r="V638" s="5"/>
      <c r="W638" s="365"/>
    </row>
    <row r="639" spans="8:23" s="4" customFormat="1" ht="15">
      <c r="H639" s="5"/>
      <c r="I639" s="5"/>
      <c r="T639" s="5"/>
      <c r="U639"/>
      <c r="V639" s="5"/>
      <c r="W639" s="365"/>
    </row>
    <row r="640" spans="8:23" s="4" customFormat="1" ht="15">
      <c r="H640" s="5"/>
      <c r="I640" s="5"/>
      <c r="T640" s="5"/>
      <c r="U640"/>
      <c r="V640" s="5"/>
      <c r="W640" s="365"/>
    </row>
    <row r="641" spans="8:23" s="4" customFormat="1" ht="15">
      <c r="H641" s="5"/>
      <c r="I641" s="5"/>
      <c r="T641" s="5"/>
      <c r="U641"/>
      <c r="V641" s="5"/>
      <c r="W641" s="365"/>
    </row>
    <row r="642" spans="8:23" s="4" customFormat="1" ht="15">
      <c r="H642" s="5"/>
      <c r="I642" s="5"/>
      <c r="T642" s="5"/>
      <c r="U642"/>
      <c r="V642" s="5"/>
      <c r="W642" s="365"/>
    </row>
    <row r="643" spans="8:23" s="4" customFormat="1" ht="15">
      <c r="H643" s="5"/>
      <c r="I643" s="5"/>
      <c r="T643" s="5"/>
      <c r="U643"/>
      <c r="V643" s="5"/>
      <c r="W643" s="365"/>
    </row>
    <row r="644" spans="8:23" s="4" customFormat="1" ht="15">
      <c r="H644" s="5"/>
      <c r="I644" s="5"/>
      <c r="T644" s="5"/>
      <c r="U644"/>
      <c r="V644" s="5"/>
      <c r="W644" s="365"/>
    </row>
    <row r="645" spans="8:23" s="4" customFormat="1" ht="15">
      <c r="H645" s="5"/>
      <c r="I645" s="5"/>
      <c r="T645" s="5"/>
      <c r="U645"/>
      <c r="V645" s="5"/>
      <c r="W645" s="365"/>
    </row>
    <row r="646" spans="8:23" s="4" customFormat="1" ht="15">
      <c r="H646" s="5"/>
      <c r="I646" s="5"/>
      <c r="T646" s="5"/>
      <c r="U646"/>
      <c r="V646" s="5"/>
      <c r="W646" s="365"/>
    </row>
    <row r="647" spans="8:23" s="4" customFormat="1" ht="15">
      <c r="H647" s="5"/>
      <c r="I647" s="5"/>
      <c r="T647" s="5"/>
      <c r="U647"/>
      <c r="V647" s="5"/>
      <c r="W647" s="365"/>
    </row>
    <row r="648" spans="8:23" s="4" customFormat="1" ht="15">
      <c r="H648" s="5"/>
      <c r="I648" s="5"/>
      <c r="T648" s="5"/>
      <c r="U648"/>
      <c r="V648" s="5"/>
      <c r="W648" s="365"/>
    </row>
    <row r="649" spans="8:23" s="4" customFormat="1" ht="15">
      <c r="H649" s="5"/>
      <c r="I649" s="5"/>
      <c r="T649" s="5"/>
      <c r="U649"/>
      <c r="V649" s="5"/>
      <c r="W649" s="365"/>
    </row>
    <row r="650" spans="8:23" s="4" customFormat="1" ht="15">
      <c r="H650" s="5"/>
      <c r="I650" s="5"/>
      <c r="T650" s="5"/>
      <c r="U650"/>
      <c r="V650" s="5"/>
      <c r="W650" s="365"/>
    </row>
    <row r="651" spans="8:23" s="4" customFormat="1" ht="15">
      <c r="H651" s="5"/>
      <c r="I651" s="5"/>
      <c r="T651" s="5"/>
      <c r="U651"/>
      <c r="V651" s="5"/>
      <c r="W651" s="365"/>
    </row>
    <row r="652" spans="8:23" s="4" customFormat="1" ht="15">
      <c r="H652" s="5"/>
      <c r="I652" s="5"/>
      <c r="T652" s="5"/>
      <c r="U652"/>
      <c r="V652" s="5"/>
      <c r="W652" s="365"/>
    </row>
    <row r="653" spans="8:23" s="4" customFormat="1" ht="15">
      <c r="H653" s="5"/>
      <c r="I653" s="5"/>
      <c r="T653" s="5"/>
      <c r="U653"/>
      <c r="V653" s="5"/>
      <c r="W653" s="365"/>
    </row>
    <row r="654" spans="8:23" s="4" customFormat="1" ht="15">
      <c r="H654" s="5"/>
      <c r="I654" s="5"/>
      <c r="T654" s="5"/>
      <c r="U654"/>
      <c r="V654" s="5"/>
      <c r="W654" s="365"/>
    </row>
    <row r="655" spans="8:23" s="4" customFormat="1" ht="15">
      <c r="H655" s="5"/>
      <c r="I655" s="5"/>
      <c r="T655" s="5"/>
      <c r="U655"/>
      <c r="V655" s="5"/>
      <c r="W655" s="365"/>
    </row>
    <row r="656" spans="8:23" s="4" customFormat="1" ht="15">
      <c r="H656" s="5"/>
      <c r="I656" s="5"/>
      <c r="T656" s="5"/>
      <c r="U656"/>
      <c r="V656" s="5"/>
      <c r="W656" s="365"/>
    </row>
    <row r="657" spans="8:23" s="4" customFormat="1" ht="15">
      <c r="H657" s="5"/>
      <c r="I657" s="5"/>
      <c r="T657" s="5"/>
      <c r="U657"/>
      <c r="V657" s="5"/>
      <c r="W657" s="365"/>
    </row>
    <row r="658" spans="8:23" s="4" customFormat="1" ht="15">
      <c r="H658" s="5"/>
      <c r="I658" s="5"/>
      <c r="T658" s="5"/>
      <c r="U658"/>
      <c r="V658" s="5"/>
      <c r="W658" s="365"/>
    </row>
    <row r="659" spans="8:23" s="4" customFormat="1" ht="15">
      <c r="H659" s="5"/>
      <c r="I659" s="5"/>
      <c r="T659" s="5"/>
      <c r="U659"/>
      <c r="V659" s="5"/>
      <c r="W659" s="365"/>
    </row>
    <row r="660" spans="8:23" s="4" customFormat="1" ht="15">
      <c r="H660" s="5"/>
      <c r="I660" s="5"/>
      <c r="T660" s="5"/>
      <c r="U660"/>
      <c r="V660" s="5"/>
      <c r="W660" s="365"/>
    </row>
    <row r="661" spans="8:23" s="4" customFormat="1" ht="15">
      <c r="H661" s="5"/>
      <c r="I661" s="5"/>
      <c r="T661" s="5"/>
      <c r="U661"/>
      <c r="V661" s="5"/>
      <c r="W661" s="365"/>
    </row>
    <row r="662" spans="8:23" s="4" customFormat="1" ht="15">
      <c r="H662" s="5"/>
      <c r="I662" s="5"/>
      <c r="T662" s="5"/>
      <c r="U662"/>
      <c r="V662" s="5"/>
      <c r="W662" s="365"/>
    </row>
    <row r="663" spans="8:23" s="4" customFormat="1" ht="15">
      <c r="H663" s="5"/>
      <c r="I663" s="5"/>
      <c r="T663" s="5"/>
      <c r="U663"/>
      <c r="V663" s="5"/>
      <c r="W663" s="365"/>
    </row>
    <row r="664" spans="8:23" s="4" customFormat="1" ht="15">
      <c r="H664" s="5"/>
      <c r="I664" s="5"/>
      <c r="T664" s="5"/>
      <c r="U664"/>
      <c r="V664" s="5"/>
      <c r="W664" s="365"/>
    </row>
    <row r="665" spans="8:23" s="4" customFormat="1" ht="15">
      <c r="H665" s="5"/>
      <c r="I665" s="5"/>
      <c r="T665" s="5"/>
      <c r="U665"/>
      <c r="V665" s="5"/>
      <c r="W665" s="365"/>
    </row>
    <row r="666" spans="8:23" s="4" customFormat="1" ht="15">
      <c r="H666" s="5"/>
      <c r="I666" s="5"/>
      <c r="T666" s="5"/>
      <c r="U666"/>
      <c r="V666" s="5"/>
      <c r="W666" s="365"/>
    </row>
    <row r="667" spans="8:23" s="4" customFormat="1" ht="15">
      <c r="H667" s="5"/>
      <c r="I667" s="5"/>
      <c r="T667" s="5"/>
      <c r="U667"/>
      <c r="V667" s="5"/>
      <c r="W667" s="365"/>
    </row>
    <row r="668" spans="8:23" s="4" customFormat="1" ht="15">
      <c r="H668" s="5"/>
      <c r="I668" s="5"/>
      <c r="T668" s="5"/>
      <c r="U668"/>
      <c r="V668" s="5"/>
      <c r="W668" s="365"/>
    </row>
    <row r="669" spans="8:23" s="4" customFormat="1" ht="15">
      <c r="H669" s="5"/>
      <c r="I669" s="5"/>
      <c r="T669" s="5"/>
      <c r="U669"/>
      <c r="V669" s="5"/>
      <c r="W669" s="365"/>
    </row>
    <row r="670" spans="8:23" s="4" customFormat="1" ht="15">
      <c r="H670" s="5"/>
      <c r="I670" s="5"/>
      <c r="T670" s="5"/>
      <c r="U670"/>
      <c r="V670" s="5"/>
      <c r="W670" s="365"/>
    </row>
    <row r="671" spans="8:23" s="4" customFormat="1" ht="15">
      <c r="H671" s="5"/>
      <c r="I671" s="5"/>
      <c r="T671" s="5"/>
      <c r="U671"/>
      <c r="V671" s="5"/>
      <c r="W671" s="365"/>
    </row>
    <row r="672" spans="8:23" s="4" customFormat="1" ht="15">
      <c r="H672" s="5"/>
      <c r="I672" s="5"/>
      <c r="T672" s="5"/>
      <c r="U672"/>
      <c r="V672" s="5"/>
      <c r="W672" s="365"/>
    </row>
    <row r="673" spans="8:23" s="4" customFormat="1" ht="15">
      <c r="H673" s="5"/>
      <c r="I673" s="5"/>
      <c r="T673" s="5"/>
      <c r="U673"/>
      <c r="V673" s="5"/>
      <c r="W673" s="365"/>
    </row>
    <row r="674" spans="8:23" s="4" customFormat="1" ht="15">
      <c r="H674" s="5"/>
      <c r="I674" s="5"/>
      <c r="T674" s="5"/>
      <c r="U674"/>
      <c r="V674" s="5"/>
      <c r="W674" s="365"/>
    </row>
    <row r="675" spans="8:23" s="4" customFormat="1" ht="15">
      <c r="H675" s="5"/>
      <c r="I675" s="5"/>
      <c r="T675" s="5"/>
      <c r="U675"/>
      <c r="V675" s="5"/>
      <c r="W675" s="365"/>
    </row>
    <row r="676" spans="8:23" s="4" customFormat="1" ht="15">
      <c r="H676" s="5"/>
      <c r="I676" s="5"/>
      <c r="T676" s="5"/>
      <c r="U676"/>
      <c r="V676" s="5"/>
      <c r="W676" s="365"/>
    </row>
    <row r="677" spans="8:23" s="4" customFormat="1" ht="15">
      <c r="H677" s="5"/>
      <c r="I677" s="5"/>
      <c r="T677" s="5"/>
      <c r="U677"/>
      <c r="V677" s="5"/>
      <c r="W677" s="365"/>
    </row>
  </sheetData>
  <sheetProtection password="CB8E" sheet="1" scenarios="1"/>
  <mergeCells count="8">
    <mergeCell ref="W243:W245"/>
    <mergeCell ref="W267:W269"/>
    <mergeCell ref="F2:G2"/>
    <mergeCell ref="A1:V1"/>
    <mergeCell ref="W4:W6"/>
    <mergeCell ref="W76:W78"/>
    <mergeCell ref="W146:W148"/>
    <mergeCell ref="W225:W227"/>
  </mergeCells>
  <phoneticPr fontId="0" type="noConversion"/>
  <printOptions horizontalCentered="1"/>
  <pageMargins left="0" right="0" top="0" bottom="0" header="0" footer="0"/>
  <pageSetup paperSize="9" scale="57" pageOrder="overThenDown" orientation="landscape" r:id="rId1"/>
  <headerFooter alignWithMargins="0">
    <oddHeader xml:space="preserve">&amp;R&amp;"Times New Roman,Italique"
&amp;"Bookman Old Style,Normal"
</oddHeader>
    <oddFooter>&amp;R&amp;"Times New Roman,Italique"SODEMEL - &amp;D- Page &amp;P/&amp;N</oddFooter>
  </headerFooter>
  <rowBreaks count="3" manualBreakCount="3">
    <brk id="74" max="16383" man="1"/>
    <brk id="144" max="16383" man="1"/>
    <brk id="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workbookViewId="0">
      <selection activeCell="G8" sqref="G8"/>
    </sheetView>
  </sheetViews>
  <sheetFormatPr baseColWidth="10" defaultRowHeight="15"/>
  <cols>
    <col min="1" max="1" width="2.7109375" style="4" customWidth="1"/>
    <col min="2" max="2" width="10.7109375" style="4" customWidth="1"/>
    <col min="3" max="3" width="19.85546875" style="4" customWidth="1"/>
    <col min="4" max="4" width="7.7109375" style="5" customWidth="1"/>
    <col min="5" max="8" width="13.7109375" style="5" customWidth="1"/>
    <col min="9" max="9" width="10.7109375" style="5" customWidth="1"/>
    <col min="10" max="13" width="7.7109375" style="4" customWidth="1"/>
    <col min="14" max="14" width="0.42578125" style="4" customWidth="1"/>
    <col min="15" max="21" width="6.7109375" style="4" customWidth="1"/>
    <col min="22" max="24" width="7.7109375" style="4" customWidth="1"/>
    <col min="25" max="34" width="7.5703125" style="4" customWidth="1"/>
    <col min="35" max="16384" width="11.42578125" style="4"/>
  </cols>
  <sheetData>
    <row r="1" spans="1:24" s="158" customFormat="1" ht="18" customHeight="1">
      <c r="A1" s="156" t="str">
        <f>données!A1</f>
        <v>PARC D'ACTIVITES ANGERS MARCE</v>
      </c>
      <c r="B1" s="160"/>
      <c r="C1" s="160"/>
      <c r="D1" s="161"/>
      <c r="E1" s="161"/>
      <c r="F1" s="161"/>
      <c r="G1" s="161"/>
      <c r="H1" s="161"/>
      <c r="I1" s="159"/>
    </row>
    <row r="2" spans="1:24" s="135" customFormat="1" ht="17.100000000000001" customHeight="1">
      <c r="A2" s="410" t="str">
        <f>CONCATENATE(IF('bilan HT'!$H$40=0,"BILAN FINANCIER PREVISIONNEL AU ","BILAN FINANCIER PREVISIONNEL REVISE AU "),DAY(dateCRAC),"/",MONTH(dateCRAC),"/",YEAR(dateCRAC))</f>
        <v>BILAN FINANCIER PREVISIONNEL REVISE AU 31/12/2011</v>
      </c>
      <c r="B2" s="410"/>
      <c r="C2" s="410"/>
      <c r="D2" s="410"/>
      <c r="E2" s="410"/>
      <c r="F2" s="410"/>
      <c r="G2" s="410"/>
      <c r="H2" s="410"/>
      <c r="I2" s="136"/>
    </row>
    <row r="3" spans="1:24" s="191" customFormat="1" ht="11.1" customHeight="1">
      <c r="A3" s="267" t="s">
        <v>1</v>
      </c>
      <c r="B3" s="268"/>
      <c r="C3" s="268"/>
      <c r="D3" s="269"/>
      <c r="E3" s="270"/>
      <c r="F3" s="271"/>
      <c r="G3" s="271" t="s">
        <v>108</v>
      </c>
      <c r="H3" s="271" t="s">
        <v>109</v>
      </c>
      <c r="I3" s="190"/>
      <c r="J3" s="190"/>
      <c r="K3" s="190"/>
      <c r="L3" s="190"/>
      <c r="M3" s="190"/>
      <c r="N3" s="190"/>
      <c r="O3" s="190"/>
      <c r="P3" s="189"/>
      <c r="Q3" s="189"/>
      <c r="R3" s="189"/>
      <c r="S3" s="189"/>
      <c r="T3" s="189"/>
      <c r="U3" s="189"/>
      <c r="V3" s="189"/>
      <c r="W3" s="189"/>
      <c r="X3" s="189"/>
    </row>
    <row r="4" spans="1:24" s="5" customFormat="1" ht="12.95" customHeight="1">
      <c r="A4" s="257" t="s">
        <v>3</v>
      </c>
      <c r="B4" s="258"/>
      <c r="C4" s="258"/>
      <c r="D4" s="272"/>
      <c r="E4" s="273" t="s">
        <v>110</v>
      </c>
      <c r="F4" s="274" t="s">
        <v>111</v>
      </c>
      <c r="G4" s="274" t="s">
        <v>112</v>
      </c>
      <c r="H4" s="274" t="s">
        <v>113</v>
      </c>
      <c r="I4" s="6"/>
      <c r="J4" s="6"/>
      <c r="K4" s="6"/>
      <c r="L4" s="6"/>
      <c r="M4" s="6"/>
      <c r="N4" s="6"/>
      <c r="O4" s="6"/>
      <c r="P4" s="4"/>
      <c r="Q4" s="4"/>
      <c r="R4" s="4"/>
      <c r="S4" s="4"/>
      <c r="T4" s="4"/>
      <c r="U4" s="4"/>
      <c r="V4" s="4"/>
      <c r="W4" s="4"/>
      <c r="X4" s="4"/>
    </row>
    <row r="5" spans="1:24" s="159" customFormat="1" ht="11.1" customHeight="1">
      <c r="A5" s="275"/>
      <c r="B5" s="276"/>
      <c r="C5" s="276"/>
      <c r="D5" s="277" t="str">
        <f>'detail bilan HT'!$C$6</f>
        <v>K€ HT</v>
      </c>
      <c r="E5" s="278">
        <f>'detail bilan HT'!E6</f>
        <v>39446</v>
      </c>
      <c r="F5" s="279" t="s">
        <v>114</v>
      </c>
      <c r="G5" s="278">
        <f>E5</f>
        <v>39446</v>
      </c>
      <c r="H5" s="280" t="s">
        <v>247</v>
      </c>
      <c r="I5" s="187"/>
      <c r="J5" s="187"/>
      <c r="K5" s="187"/>
      <c r="L5" s="187"/>
      <c r="M5" s="187"/>
      <c r="N5" s="187"/>
      <c r="O5" s="187"/>
      <c r="P5" s="158"/>
      <c r="Q5" s="158"/>
      <c r="R5" s="158"/>
      <c r="S5" s="158"/>
      <c r="T5" s="158"/>
      <c r="U5" s="158"/>
      <c r="V5" s="158"/>
      <c r="W5" s="158"/>
      <c r="X5" s="158"/>
    </row>
    <row r="6" spans="1:24" s="5" customFormat="1" ht="15" customHeight="1">
      <c r="A6" s="7" t="s">
        <v>7</v>
      </c>
      <c r="B6" s="8"/>
      <c r="C6" s="6"/>
      <c r="D6" s="6"/>
      <c r="E6" s="194"/>
      <c r="F6" s="194"/>
      <c r="G6" s="194"/>
      <c r="H6" s="194"/>
      <c r="I6" s="6"/>
      <c r="J6" s="6"/>
      <c r="K6" s="6"/>
      <c r="L6" s="6"/>
      <c r="M6" s="6"/>
      <c r="N6" s="6"/>
      <c r="O6" s="6"/>
      <c r="P6" s="4"/>
      <c r="Q6" s="4"/>
      <c r="R6" s="4"/>
      <c r="S6" s="4"/>
      <c r="T6" s="4"/>
      <c r="U6" s="4"/>
      <c r="V6" s="4"/>
      <c r="W6" s="4"/>
      <c r="X6" s="4"/>
    </row>
    <row r="7" spans="1:24" s="5" customFormat="1" ht="12.95" customHeight="1">
      <c r="A7" s="7"/>
      <c r="B7" s="12" t="s">
        <v>115</v>
      </c>
      <c r="C7"/>
      <c r="D7" s="9"/>
      <c r="E7" s="10">
        <f>SUM('detail bilan HT'!D12:E12)</f>
        <v>1113</v>
      </c>
      <c r="F7" s="10">
        <f>'detail bilan HT'!V12-E7</f>
        <v>10</v>
      </c>
      <c r="G7" s="10">
        <f>SUM(E7:F7)</f>
        <v>1123</v>
      </c>
      <c r="H7" s="2">
        <v>1123</v>
      </c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4"/>
      <c r="U7" s="4"/>
      <c r="V7" s="4"/>
      <c r="W7" s="4"/>
      <c r="X7" s="4"/>
    </row>
    <row r="8" spans="1:24" s="5" customFormat="1" ht="12.95" customHeight="1">
      <c r="A8" s="1"/>
      <c r="B8" s="12" t="s">
        <v>116</v>
      </c>
      <c r="C8"/>
      <c r="D8" s="8"/>
      <c r="E8" s="10">
        <f>SUM('detail bilan HT'!D17:E17)</f>
        <v>26</v>
      </c>
      <c r="F8" s="10">
        <f>'detail bilan HT'!V17-E8</f>
        <v>27</v>
      </c>
      <c r="G8" s="10">
        <f>SUM(E8:F8)</f>
        <v>53</v>
      </c>
      <c r="H8" s="2">
        <v>53</v>
      </c>
      <c r="I8" s="6"/>
      <c r="J8" s="6"/>
      <c r="K8" s="6"/>
      <c r="L8" s="6"/>
      <c r="M8" s="6"/>
      <c r="N8" s="6"/>
      <c r="O8" s="6"/>
      <c r="P8" s="4"/>
      <c r="Q8" s="4"/>
      <c r="R8" s="4"/>
      <c r="S8" s="4"/>
      <c r="T8" s="4"/>
      <c r="U8" s="4"/>
      <c r="V8" s="4"/>
      <c r="W8" s="4"/>
      <c r="X8" s="4"/>
    </row>
    <row r="9" spans="1:24" s="159" customFormat="1" ht="12.95" customHeight="1">
      <c r="A9" s="325"/>
      <c r="B9" s="326"/>
      <c r="C9" s="327"/>
      <c r="D9" s="327" t="s">
        <v>13</v>
      </c>
      <c r="E9" s="328">
        <f>SUM(E7:E8)</f>
        <v>1139</v>
      </c>
      <c r="F9" s="328">
        <f>SUM(F7:F8)</f>
        <v>37</v>
      </c>
      <c r="G9" s="328">
        <f>SUM(G7:G8)</f>
        <v>1176</v>
      </c>
      <c r="H9" s="328">
        <f>SUM(H7:H8)</f>
        <v>1176</v>
      </c>
      <c r="I9" s="187"/>
      <c r="J9" s="187"/>
      <c r="K9" s="187"/>
      <c r="L9" s="187"/>
      <c r="M9" s="187"/>
      <c r="N9" s="187"/>
      <c r="O9" s="187"/>
      <c r="P9" s="158"/>
      <c r="Q9" s="158"/>
      <c r="R9" s="158"/>
      <c r="S9" s="158"/>
      <c r="T9" s="158"/>
      <c r="U9" s="158"/>
      <c r="V9" s="158"/>
      <c r="W9" s="158"/>
    </row>
    <row r="10" spans="1:24" s="5" customFormat="1" ht="12.95" customHeight="1">
      <c r="A10" s="7" t="s">
        <v>14</v>
      </c>
      <c r="B10"/>
      <c r="C10"/>
      <c r="D10"/>
      <c r="E10" s="195"/>
      <c r="F10" s="195"/>
      <c r="G10" s="195"/>
      <c r="H10" s="195"/>
      <c r="I10" s="12"/>
      <c r="J10" s="6"/>
      <c r="K10" s="6"/>
      <c r="L10" s="6"/>
      <c r="M10" s="6"/>
      <c r="N10" s="6"/>
      <c r="O10" s="6"/>
      <c r="P10" s="4"/>
      <c r="Q10" s="4"/>
      <c r="R10" s="4"/>
      <c r="S10" s="4"/>
      <c r="T10" s="4"/>
      <c r="U10" s="4"/>
      <c r="V10" s="4"/>
      <c r="W10" s="4"/>
    </row>
    <row r="11" spans="1:24" s="5" customFormat="1" ht="12.95" customHeight="1">
      <c r="A11" s="7"/>
      <c r="B11" s="12" t="str">
        <f>'detail bilan HT'!A20</f>
        <v>Etudes de faisabilité</v>
      </c>
      <c r="C11"/>
      <c r="D11" s="16"/>
      <c r="E11" s="10">
        <f>SUM('detail bilan HT'!D28:E28)</f>
        <v>63</v>
      </c>
      <c r="F11" s="10">
        <f>-E11+'detail bilan HT'!V28</f>
        <v>0</v>
      </c>
      <c r="G11" s="10">
        <f>SUM(E11:F11)</f>
        <v>63</v>
      </c>
      <c r="H11" s="2">
        <v>63</v>
      </c>
      <c r="I11" s="12"/>
      <c r="J11" s="6"/>
      <c r="K11" s="6"/>
      <c r="L11" s="6"/>
      <c r="M11" s="6"/>
      <c r="N11" s="6"/>
      <c r="O11" s="6"/>
      <c r="P11" s="4"/>
      <c r="Q11" s="4"/>
      <c r="R11" s="4"/>
      <c r="S11" s="4"/>
      <c r="T11" s="4"/>
      <c r="U11" s="4"/>
      <c r="V11" s="4"/>
      <c r="W11" s="4"/>
    </row>
    <row r="12" spans="1:24" s="5" customFormat="1" ht="12.95" customHeight="1">
      <c r="A12" s="15"/>
      <c r="B12" s="12" t="str">
        <f>'detail bilan HT'!A29</f>
        <v>Etudes de réalisation</v>
      </c>
      <c r="C12"/>
      <c r="D12" s="16"/>
      <c r="E12" s="17">
        <f>SUM('detail bilan HT'!D37:E37)</f>
        <v>41</v>
      </c>
      <c r="F12" s="17">
        <f>-E12+'detail bilan HT'!V37</f>
        <v>123</v>
      </c>
      <c r="G12" s="10">
        <f>SUM(E12:F12)</f>
        <v>164</v>
      </c>
      <c r="H12" s="2">
        <v>163</v>
      </c>
      <c r="I12" s="6"/>
      <c r="J12" s="6"/>
      <c r="K12" s="6"/>
      <c r="L12" s="6"/>
      <c r="M12" s="6"/>
      <c r="N12" s="6"/>
      <c r="O12" s="6"/>
      <c r="P12" s="4"/>
      <c r="Q12" s="4"/>
      <c r="R12" s="4"/>
      <c r="S12" s="4"/>
      <c r="T12" s="4"/>
      <c r="U12" s="4"/>
      <c r="V12" s="4"/>
      <c r="W12" s="4"/>
    </row>
    <row r="13" spans="1:24" s="159" customFormat="1" ht="12.95" customHeight="1">
      <c r="A13" s="329"/>
      <c r="B13" s="327"/>
      <c r="C13" s="327"/>
      <c r="D13" s="330" t="s">
        <v>20</v>
      </c>
      <c r="E13" s="328">
        <f>SUM(E11:E12)</f>
        <v>104</v>
      </c>
      <c r="F13" s="328">
        <f>SUM(F11:F12)</f>
        <v>123</v>
      </c>
      <c r="G13" s="328">
        <f>SUM(G11:G12)</f>
        <v>227</v>
      </c>
      <c r="H13" s="331">
        <f>SUM(H11:H12)</f>
        <v>226</v>
      </c>
      <c r="I13" s="187"/>
      <c r="J13" s="187"/>
      <c r="K13" s="187"/>
      <c r="L13" s="187"/>
      <c r="M13" s="187"/>
      <c r="N13" s="187"/>
      <c r="O13" s="187"/>
      <c r="P13" s="158"/>
      <c r="Q13" s="158"/>
      <c r="R13" s="158"/>
      <c r="S13" s="158"/>
      <c r="T13" s="158"/>
      <c r="U13" s="158"/>
      <c r="V13" s="158"/>
      <c r="W13" s="158"/>
    </row>
    <row r="14" spans="1:24" s="5" customFormat="1" ht="12.95" customHeight="1">
      <c r="A14" s="7" t="s">
        <v>21</v>
      </c>
      <c r="B14" s="8"/>
      <c r="C14" s="8"/>
      <c r="D14" s="9"/>
      <c r="E14" s="10"/>
      <c r="F14" s="10"/>
      <c r="G14" s="10"/>
      <c r="H14" s="10"/>
      <c r="I14" s="6"/>
      <c r="J14" s="6"/>
      <c r="K14" s="6"/>
      <c r="L14" s="6"/>
      <c r="M14" s="6"/>
      <c r="N14" s="6"/>
      <c r="O14" s="6"/>
      <c r="P14" s="4"/>
      <c r="Q14" s="4"/>
      <c r="R14" s="4"/>
      <c r="S14" s="4"/>
      <c r="T14" s="4"/>
      <c r="U14" s="4"/>
      <c r="V14" s="4"/>
      <c r="W14" s="4"/>
    </row>
    <row r="15" spans="1:24" s="5" customFormat="1" ht="12.95" customHeight="1">
      <c r="A15" s="11"/>
      <c r="B15" s="30" t="str">
        <f>'detail bilan HT'!A40</f>
        <v>Diagnostic &amp; fouilles archéologiques</v>
      </c>
      <c r="C15" s="12"/>
      <c r="D15" s="16"/>
      <c r="E15" s="10">
        <f>SUM('detail bilan HT'!D46:E46)</f>
        <v>396</v>
      </c>
      <c r="F15" s="10">
        <f>'detail bilan HT'!V46-E15</f>
        <v>0</v>
      </c>
      <c r="G15" s="10">
        <f t="shared" ref="G15:G22" si="0">SUM(E15:F15)</f>
        <v>396</v>
      </c>
      <c r="H15" s="2">
        <v>397</v>
      </c>
      <c r="I15" s="6"/>
      <c r="J15" s="6"/>
      <c r="K15" s="6"/>
      <c r="L15" s="6"/>
      <c r="M15" s="6"/>
      <c r="N15" s="6"/>
      <c r="O15" s="6"/>
      <c r="P15" s="4"/>
      <c r="Q15" s="4"/>
      <c r="R15" s="4"/>
      <c r="S15" s="4"/>
      <c r="T15" s="4"/>
      <c r="U15" s="4"/>
      <c r="V15" s="4"/>
      <c r="W15" s="4"/>
    </row>
    <row r="16" spans="1:24" s="5" customFormat="1" ht="12.95" customHeight="1">
      <c r="A16" s="11"/>
      <c r="B16" s="30" t="str">
        <f>'detail bilan HT'!A47</f>
        <v>Travaux extérieurs</v>
      </c>
      <c r="C16" s="12"/>
      <c r="D16" s="16"/>
      <c r="E16" s="10">
        <f>SUM('detail bilan HT'!D53:E53)</f>
        <v>0</v>
      </c>
      <c r="F16" s="10">
        <f>'detail bilan HT'!V53-E16</f>
        <v>0</v>
      </c>
      <c r="G16" s="10">
        <f>SUM(E16:F16)</f>
        <v>0</v>
      </c>
      <c r="H16" s="2">
        <v>0</v>
      </c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  <c r="T16" s="4"/>
      <c r="U16" s="4"/>
      <c r="V16" s="4"/>
      <c r="W16" s="4"/>
    </row>
    <row r="17" spans="1:23" s="5" customFormat="1" ht="12.95" customHeight="1">
      <c r="A17" s="11"/>
      <c r="B17" s="30" t="str">
        <f>'detail bilan HT'!A54</f>
        <v>Aménagements de sols</v>
      </c>
      <c r="C17" s="12"/>
      <c r="D17" s="16"/>
      <c r="E17" s="10">
        <f>SUM('detail bilan HT'!D60:E60)</f>
        <v>0</v>
      </c>
      <c r="F17" s="10">
        <f>-E17+'detail bilan HT'!V60</f>
        <v>0</v>
      </c>
      <c r="G17" s="10">
        <f t="shared" si="0"/>
        <v>0</v>
      </c>
      <c r="H17" s="2">
        <v>0</v>
      </c>
      <c r="I17" s="6"/>
      <c r="J17" s="6"/>
      <c r="K17" s="6"/>
      <c r="L17" s="6"/>
      <c r="M17" s="6"/>
      <c r="N17" s="6"/>
      <c r="O17" s="6"/>
      <c r="P17" s="4"/>
      <c r="Q17" s="4"/>
      <c r="R17" s="4"/>
      <c r="S17" s="4"/>
      <c r="T17" s="4"/>
      <c r="U17" s="4"/>
      <c r="V17" s="4"/>
      <c r="W17" s="4"/>
    </row>
    <row r="18" spans="1:23" s="5" customFormat="1" ht="12.95" customHeight="1">
      <c r="A18" s="11"/>
      <c r="B18" s="30" t="str">
        <f>'detail bilan HT'!A61</f>
        <v>Voirie, assainissement, eau potable</v>
      </c>
      <c r="C18" s="12"/>
      <c r="D18" s="16"/>
      <c r="E18" s="10">
        <f>SUM('detail bilan HT'!D67:E67)</f>
        <v>1285</v>
      </c>
      <c r="F18" s="10">
        <f>-E18+'detail bilan HT'!V67</f>
        <v>1200</v>
      </c>
      <c r="G18" s="10">
        <f t="shared" si="0"/>
        <v>2485</v>
      </c>
      <c r="H18" s="2">
        <v>2453</v>
      </c>
      <c r="I18" s="6"/>
      <c r="J18" s="6"/>
      <c r="K18" s="6"/>
      <c r="L18" s="6"/>
      <c r="M18" s="6"/>
      <c r="N18" s="6"/>
      <c r="O18" s="6"/>
      <c r="P18" s="4"/>
      <c r="Q18" s="4"/>
      <c r="R18" s="4"/>
      <c r="S18" s="4"/>
      <c r="T18" s="4"/>
      <c r="U18" s="4"/>
      <c r="V18" s="4"/>
      <c r="W18" s="4"/>
    </row>
    <row r="19" spans="1:23" s="5" customFormat="1" ht="12.95" customHeight="1">
      <c r="A19" s="11"/>
      <c r="B19" s="30" t="str">
        <f>'detail bilan HT'!A68</f>
        <v>Electricité, téléphone, éclairage public</v>
      </c>
      <c r="C19" s="12"/>
      <c r="D19" s="16"/>
      <c r="E19" s="10">
        <f>SUM('detail bilan HT'!D74:E74)</f>
        <v>454</v>
      </c>
      <c r="F19" s="10">
        <f>-E19+'detail bilan HT'!V74</f>
        <v>220</v>
      </c>
      <c r="G19" s="10">
        <f t="shared" si="0"/>
        <v>674</v>
      </c>
      <c r="H19" s="2">
        <v>674</v>
      </c>
      <c r="I19" s="6"/>
      <c r="J19" s="6"/>
      <c r="K19" s="6"/>
      <c r="L19" s="6"/>
      <c r="M19" s="6"/>
      <c r="N19" s="6"/>
      <c r="O19" s="6"/>
      <c r="P19" s="4"/>
      <c r="Q19" s="4"/>
      <c r="R19" s="4"/>
      <c r="S19" s="4"/>
      <c r="T19" s="4"/>
      <c r="U19" s="4"/>
      <c r="V19" s="4"/>
      <c r="W19" s="4"/>
    </row>
    <row r="20" spans="1:23" s="5" customFormat="1" ht="12.95" customHeight="1">
      <c r="A20" s="11"/>
      <c r="B20" s="30" t="str">
        <f>'detail bilan HT'!A79</f>
        <v>Espaces verts</v>
      </c>
      <c r="C20" s="12"/>
      <c r="D20" s="16"/>
      <c r="E20" s="10">
        <f>SUM('detail bilan HT'!D85:E85)</f>
        <v>457</v>
      </c>
      <c r="F20" s="10">
        <f>-E20+'detail bilan HT'!V85</f>
        <v>50</v>
      </c>
      <c r="G20" s="10">
        <f t="shared" si="0"/>
        <v>507</v>
      </c>
      <c r="H20" s="2">
        <v>507</v>
      </c>
      <c r="I20" s="6"/>
      <c r="J20" s="6"/>
      <c r="K20" s="6"/>
      <c r="L20" s="6"/>
      <c r="M20" s="6"/>
      <c r="N20" s="6"/>
      <c r="O20" s="6"/>
      <c r="P20" s="4"/>
      <c r="Q20" s="4"/>
      <c r="R20" s="4"/>
      <c r="S20" s="4"/>
      <c r="T20" s="4"/>
      <c r="U20" s="4"/>
      <c r="V20" s="4"/>
      <c r="W20" s="4"/>
    </row>
    <row r="21" spans="1:23" s="5" customFormat="1" ht="12.95" customHeight="1">
      <c r="A21" s="11"/>
      <c r="B21" s="30" t="str">
        <f>'detail bilan HT'!A86</f>
        <v>Maîtrise d'œuvre/SPS</v>
      </c>
      <c r="C21" s="12"/>
      <c r="D21" s="16"/>
      <c r="E21" s="10">
        <f>SUM('detail bilan HT'!D92:E92)</f>
        <v>161</v>
      </c>
      <c r="F21" s="10">
        <f>-E21+'detail bilan HT'!V92</f>
        <v>74</v>
      </c>
      <c r="G21" s="10">
        <f t="shared" si="0"/>
        <v>235</v>
      </c>
      <c r="H21" s="2">
        <v>235</v>
      </c>
      <c r="I21" s="6"/>
      <c r="J21" s="6"/>
      <c r="K21" s="6"/>
      <c r="L21" s="6"/>
      <c r="M21" s="6"/>
      <c r="N21" s="6"/>
      <c r="O21" s="6"/>
      <c r="P21" s="4"/>
      <c r="Q21" s="4"/>
      <c r="R21" s="4"/>
      <c r="S21" s="4"/>
      <c r="T21" s="4"/>
      <c r="U21" s="4"/>
      <c r="V21" s="4"/>
      <c r="W21" s="4"/>
    </row>
    <row r="22" spans="1:23" s="5" customFormat="1" ht="12.95" customHeight="1">
      <c r="A22" s="11"/>
      <c r="B22" s="30" t="str">
        <f>'detail bilan HT'!A93</f>
        <v>Divers &amp; imprévus</v>
      </c>
      <c r="C22" s="12"/>
      <c r="D22" s="16"/>
      <c r="E22" s="10">
        <f>SUM('detail bilan HT'!D99:E99)</f>
        <v>0</v>
      </c>
      <c r="F22" s="10">
        <f>'detail bilan HT'!V99-E22</f>
        <v>371</v>
      </c>
      <c r="G22" s="10">
        <f t="shared" si="0"/>
        <v>371</v>
      </c>
      <c r="H22" s="2">
        <v>204</v>
      </c>
      <c r="I22" s="6"/>
      <c r="J22" s="6"/>
      <c r="K22" s="6"/>
      <c r="L22" s="6"/>
      <c r="M22" s="6"/>
      <c r="N22" s="6"/>
      <c r="O22" s="6"/>
      <c r="P22" s="4"/>
      <c r="Q22" s="4"/>
      <c r="R22" s="4"/>
      <c r="S22" s="4"/>
      <c r="T22" s="4"/>
      <c r="U22" s="4"/>
      <c r="V22" s="4"/>
      <c r="W22" s="4"/>
    </row>
    <row r="23" spans="1:23" s="159" customFormat="1" ht="12.95" customHeight="1">
      <c r="A23" s="329"/>
      <c r="B23" s="327"/>
      <c r="C23" s="327"/>
      <c r="D23" s="330" t="s">
        <v>27</v>
      </c>
      <c r="E23" s="328">
        <f>SUM(E15:E22)</f>
        <v>2753</v>
      </c>
      <c r="F23" s="328">
        <f>SUM(F15:F22)</f>
        <v>1915</v>
      </c>
      <c r="G23" s="328">
        <f>SUM(G15:G22)</f>
        <v>4668</v>
      </c>
      <c r="H23" s="328">
        <f>SUM(H15:H22)</f>
        <v>4470</v>
      </c>
      <c r="I23" s="187"/>
      <c r="J23" s="187"/>
      <c r="K23" s="187"/>
      <c r="L23" s="187"/>
      <c r="M23" s="187"/>
      <c r="N23" s="187"/>
      <c r="O23" s="187"/>
      <c r="P23" s="158"/>
      <c r="Q23" s="158"/>
      <c r="R23" s="158"/>
      <c r="S23" s="158"/>
      <c r="T23" s="158"/>
      <c r="U23" s="158"/>
      <c r="V23" s="158"/>
      <c r="W23" s="158"/>
    </row>
    <row r="24" spans="1:23" s="5" customFormat="1" ht="12.95" customHeight="1">
      <c r="A24" s="7" t="s">
        <v>28</v>
      </c>
      <c r="B24" s="8"/>
      <c r="C24" s="8"/>
      <c r="D24" s="9"/>
      <c r="E24" s="20"/>
      <c r="F24" s="20"/>
      <c r="G24" s="20"/>
      <c r="H24" s="20"/>
      <c r="I24" s="6"/>
      <c r="J24" s="6"/>
      <c r="K24" s="6"/>
      <c r="L24" s="6"/>
      <c r="M24" s="6"/>
      <c r="N24" s="6"/>
      <c r="O24" s="6"/>
      <c r="P24" s="4"/>
      <c r="Q24" s="4"/>
      <c r="R24" s="4"/>
      <c r="S24" s="4"/>
      <c r="T24" s="4"/>
      <c r="U24" s="4"/>
      <c r="V24" s="4"/>
      <c r="W24" s="4"/>
    </row>
    <row r="25" spans="1:23" s="5" customFormat="1" ht="12.95" customHeight="1">
      <c r="A25" s="11"/>
      <c r="B25" s="12" t="s">
        <v>29</v>
      </c>
      <c r="C25" s="12"/>
      <c r="D25" s="16"/>
      <c r="E25" s="10">
        <f>SUM('detail bilan HT'!D111:E111)</f>
        <v>0</v>
      </c>
      <c r="F25" s="10">
        <f>-E25+'detail bilan HT'!V111</f>
        <v>0</v>
      </c>
      <c r="G25" s="10">
        <f>SUM(E25:F25)</f>
        <v>0</v>
      </c>
      <c r="H25" s="2">
        <v>0</v>
      </c>
      <c r="I25" s="6"/>
      <c r="J25" s="6"/>
      <c r="K25" s="6"/>
      <c r="L25" s="6"/>
      <c r="M25" s="6"/>
      <c r="N25" s="6"/>
      <c r="O25" s="6"/>
      <c r="P25" s="4"/>
      <c r="Q25" s="4"/>
      <c r="R25" s="4"/>
      <c r="S25" s="4"/>
      <c r="T25" s="4"/>
      <c r="U25" s="4"/>
      <c r="V25" s="4"/>
      <c r="W25" s="4"/>
    </row>
    <row r="26" spans="1:23" s="5" customFormat="1" ht="12.95" customHeight="1">
      <c r="A26" s="11"/>
      <c r="B26" s="12" t="s">
        <v>31</v>
      </c>
      <c r="C26" s="12"/>
      <c r="D26" s="16"/>
      <c r="E26" s="10">
        <f>SUM('detail bilan HT'!D112:E113)</f>
        <v>141</v>
      </c>
      <c r="F26" s="10">
        <f>-E26+SUM('detail bilan HT'!V112:V113)</f>
        <v>516</v>
      </c>
      <c r="G26" s="10">
        <f>SUM(E26:F26)</f>
        <v>657</v>
      </c>
      <c r="H26" s="2">
        <v>861</v>
      </c>
      <c r="I26" s="6"/>
      <c r="J26" s="6"/>
      <c r="K26" s="6"/>
      <c r="L26" s="6"/>
      <c r="M26" s="6"/>
      <c r="N26" s="6"/>
      <c r="O26" s="6"/>
      <c r="P26" s="4"/>
      <c r="Q26" s="4"/>
      <c r="R26" s="4"/>
      <c r="S26" s="4"/>
      <c r="T26" s="4"/>
      <c r="U26" s="4"/>
      <c r="V26" s="4"/>
      <c r="W26" s="4"/>
    </row>
    <row r="27" spans="1:23" s="159" customFormat="1" ht="12.95" customHeight="1">
      <c r="A27" s="329"/>
      <c r="B27" s="327"/>
      <c r="C27" s="327"/>
      <c r="D27" s="330" t="s">
        <v>32</v>
      </c>
      <c r="E27" s="328">
        <f>SUM(E25:E26)</f>
        <v>141</v>
      </c>
      <c r="F27" s="328">
        <f>SUM(F25:F26)</f>
        <v>516</v>
      </c>
      <c r="G27" s="328">
        <f>SUM(G25:G26)</f>
        <v>657</v>
      </c>
      <c r="H27" s="328">
        <f>SUM(H25:H26)</f>
        <v>861</v>
      </c>
      <c r="I27" s="187"/>
      <c r="J27" s="187"/>
      <c r="K27" s="187"/>
      <c r="L27" s="187"/>
      <c r="M27" s="187"/>
      <c r="N27" s="187"/>
      <c r="O27" s="187"/>
      <c r="P27" s="158"/>
      <c r="Q27" s="158"/>
      <c r="R27" s="158"/>
      <c r="S27" s="158"/>
      <c r="T27" s="158"/>
      <c r="U27" s="158"/>
      <c r="V27" s="158"/>
      <c r="W27" s="158"/>
    </row>
    <row r="28" spans="1:23" s="5" customFormat="1" ht="12.95" customHeight="1">
      <c r="A28" s="7" t="s">
        <v>33</v>
      </c>
      <c r="B28" s="8"/>
      <c r="C28" s="8"/>
      <c r="D28" s="9"/>
      <c r="E28" s="10"/>
      <c r="F28" s="10"/>
      <c r="G28" s="10"/>
      <c r="H28" s="10"/>
      <c r="I28" s="6"/>
      <c r="J28" s="6"/>
      <c r="K28" s="6"/>
      <c r="L28" s="6"/>
      <c r="M28" s="6"/>
      <c r="N28" s="6"/>
      <c r="O28" s="6"/>
      <c r="P28" s="4"/>
      <c r="Q28" s="4"/>
      <c r="R28" s="4"/>
      <c r="S28" s="4"/>
      <c r="T28" s="4"/>
      <c r="U28" s="4"/>
      <c r="V28" s="4"/>
      <c r="W28" s="4"/>
    </row>
    <row r="29" spans="1:23" s="5" customFormat="1" ht="12.95" customHeight="1">
      <c r="A29" s="11"/>
      <c r="B29" s="30" t="str">
        <f>'detail bilan HT'!A116</f>
        <v>Gestion</v>
      </c>
      <c r="C29" s="21"/>
      <c r="D29" s="16"/>
      <c r="E29" s="10">
        <f>SUM('detail bilan HT'!D127:E127)</f>
        <v>200</v>
      </c>
      <c r="F29" s="10">
        <f>SUM(-E29,'detail bilan HT'!V127)</f>
        <v>167</v>
      </c>
      <c r="G29" s="10">
        <f>SUM(E29:F29)</f>
        <v>367</v>
      </c>
      <c r="H29" s="2">
        <v>368</v>
      </c>
      <c r="I29" s="6"/>
      <c r="J29" s="6"/>
      <c r="K29" s="6"/>
      <c r="L29" s="6"/>
      <c r="M29" s="6"/>
      <c r="N29" s="6"/>
      <c r="O29" s="6"/>
      <c r="P29" s="4"/>
      <c r="Q29" s="4"/>
      <c r="R29" s="4"/>
      <c r="S29" s="4"/>
      <c r="T29" s="4"/>
      <c r="U29" s="4"/>
      <c r="V29" s="4"/>
      <c r="W29" s="4"/>
    </row>
    <row r="30" spans="1:23" s="5" customFormat="1" ht="12.95" customHeight="1">
      <c r="A30" s="11"/>
      <c r="B30" s="30" t="str">
        <f>'detail bilan HT'!A128</f>
        <v>Commercialisation</v>
      </c>
      <c r="C30" s="21"/>
      <c r="D30" s="16"/>
      <c r="E30" s="10">
        <f>SUM('detail bilan HT'!D134:E134)</f>
        <v>0</v>
      </c>
      <c r="F30" s="10">
        <f>SUM(-E30,'detail bilan HT'!V134)</f>
        <v>400</v>
      </c>
      <c r="G30" s="10">
        <f>SUM(E30:F30)</f>
        <v>400</v>
      </c>
      <c r="H30" s="2">
        <v>399</v>
      </c>
      <c r="I30" s="6"/>
      <c r="J30" s="6"/>
      <c r="K30" s="6"/>
      <c r="L30" s="6"/>
      <c r="M30" s="6"/>
      <c r="N30" s="6"/>
      <c r="O30" s="6"/>
      <c r="P30" s="4"/>
      <c r="Q30" s="4"/>
      <c r="R30" s="4"/>
      <c r="S30" s="4"/>
      <c r="T30" s="4"/>
      <c r="U30" s="4"/>
      <c r="V30" s="4"/>
      <c r="W30" s="4"/>
    </row>
    <row r="31" spans="1:23" s="158" customFormat="1" ht="12.95" customHeight="1">
      <c r="A31" s="329"/>
      <c r="B31" s="327"/>
      <c r="C31" s="327"/>
      <c r="D31" s="330" t="s">
        <v>40</v>
      </c>
      <c r="E31" s="328">
        <f>SUM(E29:E30)</f>
        <v>200</v>
      </c>
      <c r="F31" s="328">
        <f>SUM(F29:F30)</f>
        <v>567</v>
      </c>
      <c r="G31" s="328">
        <f>SUM(G29:G30)</f>
        <v>767</v>
      </c>
      <c r="H31" s="328">
        <f>SUM(H29:H30)</f>
        <v>767</v>
      </c>
      <c r="I31" s="187"/>
      <c r="J31" s="187"/>
      <c r="K31" s="187"/>
      <c r="L31" s="187"/>
      <c r="M31" s="187"/>
      <c r="N31" s="187"/>
      <c r="O31" s="187"/>
    </row>
    <row r="32" spans="1:23" ht="12.95" customHeight="1">
      <c r="A32" s="7" t="s">
        <v>41</v>
      </c>
      <c r="B32" s="8"/>
      <c r="C32" s="8"/>
      <c r="D32" s="9"/>
      <c r="E32" s="10"/>
      <c r="F32" s="10"/>
      <c r="G32" s="10"/>
      <c r="H32" s="10"/>
      <c r="I32" s="6"/>
      <c r="J32" s="6"/>
      <c r="K32" s="6"/>
      <c r="L32" s="6"/>
      <c r="M32" s="6"/>
      <c r="N32" s="6"/>
      <c r="O32" s="6"/>
    </row>
    <row r="33" spans="1:15" ht="12.95" customHeight="1">
      <c r="A33" s="11"/>
      <c r="B33" s="30" t="str">
        <f>IF(AND('detail bilan HT'!$V137=0,H33=0),"",'detail bilan HT'!B137)</f>
        <v>Panneau publicitaire</v>
      </c>
      <c r="C33" s="12"/>
      <c r="D33" s="16"/>
      <c r="E33" s="30">
        <f>IF(AND('detail bilan HT'!$V137=0,H33=0),"",SUM('detail bilan HT'!D137:E137))</f>
        <v>5</v>
      </c>
      <c r="F33" s="10">
        <f>IF(AND('detail bilan HT'!$V137=0,H33=0),"",'detail bilan HT'!V137-E33)</f>
        <v>0</v>
      </c>
      <c r="G33" s="10">
        <f>IF(AND('detail bilan HT'!$V137=0,H33=0),"",SUM(E33:F33))</f>
        <v>5</v>
      </c>
      <c r="H33" s="2">
        <v>0</v>
      </c>
      <c r="I33" s="6"/>
      <c r="J33" s="6"/>
      <c r="K33" s="6"/>
      <c r="L33" s="6"/>
      <c r="M33" s="6"/>
      <c r="N33" s="6"/>
      <c r="O33" s="6"/>
    </row>
    <row r="34" spans="1:15" ht="12.95" customHeight="1">
      <c r="A34" s="11"/>
      <c r="B34" s="30" t="str">
        <f>IF(AND('detail bilan HT'!$V138=0,H34=0),"",'detail bilan HT'!B138)</f>
        <v/>
      </c>
      <c r="C34" s="12"/>
      <c r="D34" s="16"/>
      <c r="E34" s="30" t="str">
        <f>IF(AND('detail bilan HT'!$V138=0,H34=0),"",SUM('detail bilan HT'!D138:E138))</f>
        <v/>
      </c>
      <c r="F34" s="10" t="str">
        <f>IF(AND('detail bilan HT'!$V138=0,H34=0),"",'detail bilan HT'!V138-E34)</f>
        <v/>
      </c>
      <c r="G34" s="10" t="str">
        <f>IF(AND('detail bilan HT'!$V138=0,H34=0),"",SUM(E34:F34))</f>
        <v/>
      </c>
      <c r="H34" s="2">
        <v>0</v>
      </c>
      <c r="I34" s="6"/>
      <c r="J34" s="6"/>
      <c r="K34" s="6"/>
      <c r="L34" s="6"/>
      <c r="M34" s="6"/>
      <c r="N34" s="6"/>
      <c r="O34" s="6"/>
    </row>
    <row r="35" spans="1:15" ht="12.95" customHeight="1">
      <c r="A35" s="11"/>
      <c r="B35" s="30" t="str">
        <f>IF(AND('detail bilan HT'!$V139=0,H35=0),"",'detail bilan HT'!B139)</f>
        <v/>
      </c>
      <c r="C35" s="12"/>
      <c r="D35" s="16"/>
      <c r="E35" s="30" t="str">
        <f>IF(AND('detail bilan HT'!$V139=0,H35=0),"",SUM('detail bilan HT'!D139:E139))</f>
        <v/>
      </c>
      <c r="F35" s="10" t="str">
        <f>IF(AND('detail bilan HT'!$V139=0,H35=0),"",'detail bilan HT'!V139-E35)</f>
        <v/>
      </c>
      <c r="G35" s="10" t="str">
        <f>IF(AND('detail bilan HT'!$V139=0,H35=0),"",SUM(E35:F35))</f>
        <v/>
      </c>
      <c r="H35" s="2">
        <v>0</v>
      </c>
      <c r="I35" s="6"/>
      <c r="J35" s="6"/>
      <c r="K35" s="6"/>
      <c r="L35" s="6"/>
      <c r="M35" s="6"/>
      <c r="N35" s="6"/>
      <c r="O35" s="6"/>
    </row>
    <row r="36" spans="1:15" ht="12.95" customHeight="1">
      <c r="A36" s="11"/>
      <c r="B36" s="30" t="str">
        <f>IF(AND('detail bilan HT'!$V140=0,H36=0),"",'detail bilan HT'!B140)</f>
        <v/>
      </c>
      <c r="C36" s="12"/>
      <c r="D36" s="16"/>
      <c r="E36" s="30" t="str">
        <f>IF(AND('detail bilan HT'!$V140=0,H36=0),"",SUM('detail bilan HT'!D140:E140))</f>
        <v/>
      </c>
      <c r="F36" s="10" t="str">
        <f>IF(AND('detail bilan HT'!$V140=0,H36=0),"",'detail bilan HT'!V140-E36)</f>
        <v/>
      </c>
      <c r="G36" s="10" t="str">
        <f>IF(AND('detail bilan HT'!$V140=0,H36=0),"",SUM(E36:F36))</f>
        <v/>
      </c>
      <c r="H36" s="2">
        <v>0</v>
      </c>
      <c r="I36" s="6"/>
      <c r="J36" s="6"/>
      <c r="K36" s="6"/>
      <c r="L36" s="6"/>
      <c r="M36" s="6"/>
      <c r="N36" s="6"/>
      <c r="O36" s="6"/>
    </row>
    <row r="37" spans="1:15" ht="12.95" customHeight="1">
      <c r="A37" s="11"/>
      <c r="B37" s="30" t="str">
        <f>IF(AND('detail bilan HT'!$V141=0,H37=0),"",'detail bilan HT'!B141)</f>
        <v/>
      </c>
      <c r="C37" s="12"/>
      <c r="D37" s="16"/>
      <c r="E37" s="30" t="str">
        <f>IF(AND('detail bilan HT'!$V141=0,H37=0),"",SUM('detail bilan HT'!D141:E141))</f>
        <v/>
      </c>
      <c r="F37" s="10" t="str">
        <f>IF(AND('detail bilan HT'!$V141=0,H37=0),"",'detail bilan HT'!V141-E37)</f>
        <v/>
      </c>
      <c r="G37" s="10" t="str">
        <f>IF(AND('detail bilan HT'!$V141=0,H37=0),"",SUM(E37:F37))</f>
        <v/>
      </c>
      <c r="H37" s="2">
        <v>0</v>
      </c>
      <c r="I37" s="6"/>
      <c r="J37" s="6"/>
      <c r="K37" s="6"/>
      <c r="L37" s="6"/>
      <c r="M37" s="6"/>
      <c r="N37" s="6"/>
      <c r="O37" s="6"/>
    </row>
    <row r="38" spans="1:15" s="158" customFormat="1" ht="12.95" customHeight="1">
      <c r="A38" s="329"/>
      <c r="B38" s="327"/>
      <c r="C38" s="327"/>
      <c r="D38" s="330" t="s">
        <v>45</v>
      </c>
      <c r="E38" s="328">
        <f>SUM(E33:E37)</f>
        <v>5</v>
      </c>
      <c r="F38" s="328">
        <f>SUM(F33:F37)</f>
        <v>0</v>
      </c>
      <c r="G38" s="328">
        <f>SUM(G33:G37)</f>
        <v>5</v>
      </c>
      <c r="H38" s="328">
        <f>SUM(H33:H37)</f>
        <v>0</v>
      </c>
      <c r="I38" s="187"/>
      <c r="J38" s="187"/>
      <c r="K38" s="187"/>
      <c r="L38" s="187"/>
      <c r="M38" s="187"/>
      <c r="N38" s="187"/>
      <c r="O38" s="187"/>
    </row>
    <row r="39" spans="1:15" ht="3" customHeight="1">
      <c r="A39" s="18"/>
      <c r="B39" s="13"/>
      <c r="C39" s="13"/>
      <c r="D39" s="19"/>
      <c r="E39" s="203"/>
      <c r="F39" s="203"/>
      <c r="G39" s="203"/>
      <c r="H39" s="203"/>
      <c r="I39" s="6"/>
      <c r="J39" s="6"/>
      <c r="K39" s="6"/>
      <c r="L39" s="6"/>
      <c r="M39" s="6"/>
      <c r="N39" s="6"/>
      <c r="O39" s="6"/>
    </row>
    <row r="40" spans="1:15" s="23" customFormat="1" ht="15" customHeight="1">
      <c r="A40" s="251"/>
      <c r="B40" s="252"/>
      <c r="C40" s="252"/>
      <c r="D40" s="253" t="s">
        <v>118</v>
      </c>
      <c r="E40" s="281">
        <f>SUM(E9,E13,E23,E27,E31,E38)</f>
        <v>4342</v>
      </c>
      <c r="F40" s="281">
        <f>SUM(F9,F13,F23,F27,F31,F38)</f>
        <v>3158</v>
      </c>
      <c r="G40" s="281">
        <f>SUM(G9,G13,G23,G27,G31,G38)</f>
        <v>7500</v>
      </c>
      <c r="H40" s="281">
        <f>SUM(H9,H13,H23,H27,H31,H38)</f>
        <v>7500</v>
      </c>
      <c r="I40" s="22"/>
      <c r="J40" s="22"/>
      <c r="K40" s="22"/>
      <c r="L40" s="22"/>
      <c r="M40" s="22"/>
      <c r="N40" s="22"/>
      <c r="O40" s="22"/>
    </row>
    <row r="41" spans="1:15" ht="3.75" customHeight="1">
      <c r="M41" s="24"/>
    </row>
    <row r="42" spans="1:15" s="189" customFormat="1" ht="11.1" customHeight="1">
      <c r="A42" s="282" t="s">
        <v>1</v>
      </c>
      <c r="B42" s="283"/>
      <c r="C42" s="283"/>
      <c r="D42" s="284"/>
      <c r="E42" s="270"/>
      <c r="F42" s="271"/>
      <c r="G42" s="271" t="s">
        <v>108</v>
      </c>
      <c r="H42" s="271" t="str">
        <f>H3</f>
        <v>Dernier</v>
      </c>
      <c r="I42" s="191"/>
    </row>
    <row r="43" spans="1:15" ht="12.95" customHeight="1">
      <c r="A43" s="257" t="s">
        <v>47</v>
      </c>
      <c r="B43" s="258"/>
      <c r="C43" s="258"/>
      <c r="D43" s="272"/>
      <c r="E43" s="273" t="s">
        <v>110</v>
      </c>
      <c r="F43" s="274" t="s">
        <v>111</v>
      </c>
      <c r="G43" s="274" t="s">
        <v>112</v>
      </c>
      <c r="H43" s="274" t="str">
        <f>H4</f>
        <v>bilan présenté</v>
      </c>
    </row>
    <row r="44" spans="1:15" s="158" customFormat="1" ht="11.1" customHeight="1">
      <c r="A44" s="275"/>
      <c r="B44" s="276"/>
      <c r="C44" s="276"/>
      <c r="D44" s="277" t="str">
        <f>'detail bilan HT'!$C$6</f>
        <v>K€ HT</v>
      </c>
      <c r="E44" s="278">
        <f>$E$5</f>
        <v>39446</v>
      </c>
      <c r="F44" s="278" t="s">
        <v>114</v>
      </c>
      <c r="G44" s="278">
        <f>$E$5</f>
        <v>39446</v>
      </c>
      <c r="H44" s="279" t="str">
        <f>IF(H5="","",H5)</f>
        <v>au 31/12/10</v>
      </c>
      <c r="I44" s="159"/>
    </row>
    <row r="45" spans="1:15" ht="14.1" customHeight="1">
      <c r="A45" s="25" t="str">
        <f>'detail bilan HT'!A149</f>
        <v>A/CESSIONS</v>
      </c>
      <c r="B45" s="26"/>
      <c r="C45" s="26"/>
      <c r="D45" s="27"/>
      <c r="E45" s="28"/>
      <c r="F45" s="28"/>
      <c r="G45" s="28"/>
      <c r="H45" s="28"/>
    </row>
    <row r="46" spans="1:15" ht="12.95" customHeight="1">
      <c r="A46" s="29"/>
      <c r="B46" s="30" t="str">
        <f>IF(AND('detail bilan HT'!$V$158=0,H46=0),"",'detail bilan HT'!A150)</f>
        <v>Activités 40 has à 18,50 € HT le m²</v>
      </c>
      <c r="C46" s="31"/>
      <c r="D46" s="32"/>
      <c r="E46" s="10">
        <f>IF(AND('detail bilan HT'!$V$158=0,H46=0),"",SUM('detail bilan HT'!D158:E158))</f>
        <v>0</v>
      </c>
      <c r="F46" s="10">
        <f>IF(AND('detail bilan HT'!$V$158=0,H46=0),"",'detail bilan HT'!V158-E46)</f>
        <v>7400</v>
      </c>
      <c r="G46" s="10">
        <f t="shared" ref="G46:G51" si="1">IF(B46="","",SUM(E46:F46))</f>
        <v>7400</v>
      </c>
      <c r="H46" s="2">
        <v>7400</v>
      </c>
    </row>
    <row r="47" spans="1:15" ht="12.95" customHeight="1">
      <c r="A47" s="17" t="s">
        <v>119</v>
      </c>
      <c r="B47" s="30" t="str">
        <f>IF(AND('detail bilan HT'!$V$167=0,H47=0),"",'detail bilan HT'!A159)</f>
        <v/>
      </c>
      <c r="C47" s="30"/>
      <c r="D47" s="33"/>
      <c r="E47" s="10" t="str">
        <f>IF(AND('detail bilan HT'!$V$167=0,H47=0),"",SUM('detail bilan HT'!D167:E167))</f>
        <v/>
      </c>
      <c r="F47" s="10" t="str">
        <f>IF(AND('detail bilan HT'!$V$167=0,H47=0),"",'detail bilan HT'!V167-E47)</f>
        <v/>
      </c>
      <c r="G47" s="10" t="str">
        <f t="shared" si="1"/>
        <v/>
      </c>
      <c r="H47" s="2">
        <v>0</v>
      </c>
    </row>
    <row r="48" spans="1:15" ht="12.95" customHeight="1">
      <c r="A48" s="17"/>
      <c r="B48" s="30" t="str">
        <f>IF(AND('detail bilan HT'!$V$176=0,H48=0),"",'detail bilan HT'!A168)</f>
        <v/>
      </c>
      <c r="C48" s="30"/>
      <c r="D48" s="33"/>
      <c r="E48" s="10" t="str">
        <f>IF(AND('detail bilan HT'!$V$176=0,H48=0),"",SUM('detail bilan HT'!D176:E176))</f>
        <v/>
      </c>
      <c r="F48" s="10" t="str">
        <f>IF(AND('detail bilan HT'!$V$176=0,H48=0),"",'detail bilan HT'!V176-E48)</f>
        <v/>
      </c>
      <c r="G48" s="10" t="str">
        <f t="shared" si="1"/>
        <v/>
      </c>
      <c r="H48" s="2">
        <v>0</v>
      </c>
    </row>
    <row r="49" spans="1:19" ht="12.95" customHeight="1">
      <c r="A49" s="17"/>
      <c r="B49" s="30" t="str">
        <f>IF(AND('detail bilan HT'!$V$185=0,H49=0),"",'detail bilan HT'!A177)</f>
        <v/>
      </c>
      <c r="C49" s="30"/>
      <c r="D49" s="33"/>
      <c r="E49" s="10" t="str">
        <f>IF(AND('detail bilan HT'!$V$185=0,H49=0),"",SUM('detail bilan HT'!D185:E185))</f>
        <v/>
      </c>
      <c r="F49" s="10" t="str">
        <f>IF(AND('detail bilan HT'!$V$185=0,H49=0),"",'detail bilan HT'!V185-E49)</f>
        <v/>
      </c>
      <c r="G49" s="10" t="str">
        <f t="shared" si="1"/>
        <v/>
      </c>
      <c r="H49" s="2">
        <v>0</v>
      </c>
    </row>
    <row r="50" spans="1:19" ht="12.95" customHeight="1">
      <c r="A50" s="17"/>
      <c r="B50" s="30" t="str">
        <f>IF(AND('detail bilan HT'!$V$194=0,H50=0),"",'detail bilan HT'!A186)</f>
        <v/>
      </c>
      <c r="C50" s="30"/>
      <c r="D50" s="33"/>
      <c r="E50" s="10" t="str">
        <f>IF(AND('detail bilan HT'!$V$194=0,H50=0),"",SUM('detail bilan HT'!D194:E194))</f>
        <v/>
      </c>
      <c r="F50" s="10" t="str">
        <f>IF(AND('detail bilan HT'!$V$194=0,H50=0),"",'detail bilan HT'!V194-E50)</f>
        <v/>
      </c>
      <c r="G50" s="10" t="str">
        <f t="shared" si="1"/>
        <v/>
      </c>
      <c r="H50" s="2">
        <v>0</v>
      </c>
    </row>
    <row r="51" spans="1:19" ht="12.95" customHeight="1">
      <c r="A51" s="17"/>
      <c r="B51" s="30" t="str">
        <f>IF(AND('detail bilan HT'!$V$195=0,H51=0),"",'detail bilan HT'!A195)</f>
        <v/>
      </c>
      <c r="C51" s="30"/>
      <c r="D51" s="33"/>
      <c r="E51" s="10" t="str">
        <f>IF(AND('detail bilan HT'!$V$195=0,H51=0),"",SUM('detail bilan HT'!D195:E195))</f>
        <v/>
      </c>
      <c r="F51" s="10" t="str">
        <f>IF(AND('detail bilan HT'!$V$195=0,H51=0),"",'detail bilan HT'!V195-E51)</f>
        <v/>
      </c>
      <c r="G51" s="10" t="str">
        <f t="shared" si="1"/>
        <v/>
      </c>
      <c r="H51" s="2">
        <v>0</v>
      </c>
    </row>
    <row r="52" spans="1:19" s="158" customFormat="1" ht="12.95" customHeight="1">
      <c r="A52" s="332"/>
      <c r="B52" s="333"/>
      <c r="C52" s="333"/>
      <c r="D52" s="334" t="s">
        <v>58</v>
      </c>
      <c r="E52" s="335">
        <f>SUM(E46:E51)</f>
        <v>0</v>
      </c>
      <c r="F52" s="335">
        <f>SUM(F46:F51)</f>
        <v>7400</v>
      </c>
      <c r="G52" s="335">
        <f>SUM(G46:G51)</f>
        <v>7400</v>
      </c>
      <c r="H52" s="335">
        <f>SUM(H46:H51)</f>
        <v>7400</v>
      </c>
      <c r="I52" s="159"/>
      <c r="Q52" s="159"/>
      <c r="R52" s="159"/>
    </row>
    <row r="53" spans="1:19" s="158" customFormat="1" ht="12.95" customHeight="1">
      <c r="A53" s="338" t="str">
        <f>'detail bilan HT'!A197</f>
        <v>B/SUBVENTIONS</v>
      </c>
      <c r="B53" s="333"/>
      <c r="C53" s="333"/>
      <c r="E53" s="142"/>
      <c r="F53" s="142"/>
      <c r="G53" s="142"/>
      <c r="H53" s="204"/>
      <c r="I53" s="159"/>
      <c r="Q53" s="159"/>
      <c r="R53" s="159"/>
    </row>
    <row r="54" spans="1:19" s="158" customFormat="1" ht="12.95" customHeight="1">
      <c r="A54" s="338"/>
      <c r="B54" s="333"/>
      <c r="C54" s="333"/>
      <c r="D54" s="334" t="str">
        <f>'detail bilan HT'!C205</f>
        <v>TOTAL B</v>
      </c>
      <c r="E54" s="335">
        <f>SUM('detail bilan HT'!D205:E205)</f>
        <v>0</v>
      </c>
      <c r="F54" s="335">
        <f>'detail bilan HT'!V205-E54</f>
        <v>100</v>
      </c>
      <c r="G54" s="335">
        <f>SUM(E54:F54)</f>
        <v>100</v>
      </c>
      <c r="H54" s="337">
        <v>100</v>
      </c>
      <c r="I54" s="159"/>
      <c r="Q54" s="159"/>
      <c r="R54" s="159"/>
    </row>
    <row r="55" spans="1:19" ht="12.95" customHeight="1">
      <c r="A55" s="38" t="str">
        <f>'detail bilan HT'!A206</f>
        <v>C/AUTRES PRODUITS</v>
      </c>
      <c r="B55" s="39"/>
      <c r="C55" s="39"/>
      <c r="D55" s="40"/>
      <c r="E55" s="10"/>
      <c r="F55" s="10"/>
      <c r="G55" s="10"/>
      <c r="H55" s="10"/>
      <c r="Q55" s="5"/>
      <c r="R55" s="5"/>
      <c r="S55" s="5"/>
    </row>
    <row r="56" spans="1:19" ht="12.95" customHeight="1">
      <c r="A56" s="17"/>
      <c r="B56" s="30" t="str">
        <f>IF(AND('detail bilan HT'!$V207=0,H56=0),"",'detail bilan HT'!B207)</f>
        <v/>
      </c>
      <c r="C56" s="30"/>
      <c r="D56" s="33"/>
      <c r="E56" s="10" t="str">
        <f>IF(B56="","",SUM('detail bilan HT'!D207:E207))</f>
        <v/>
      </c>
      <c r="F56" s="10" t="str">
        <f>IF(B56="","",'detail bilan HT'!V207-E56)</f>
        <v/>
      </c>
      <c r="G56" s="10" t="str">
        <f>IF(B56="","",SUM(E56:F56))</f>
        <v/>
      </c>
      <c r="H56" s="2">
        <v>0</v>
      </c>
      <c r="Q56" s="5"/>
      <c r="R56" s="5"/>
      <c r="S56" s="5"/>
    </row>
    <row r="57" spans="1:19" ht="12.95" customHeight="1">
      <c r="A57" s="17"/>
      <c r="B57" s="30" t="str">
        <f>IF(AND('detail bilan HT'!$V208=0,H57=0),"",'detail bilan HT'!B208)</f>
        <v/>
      </c>
      <c r="C57" s="30"/>
      <c r="D57" s="33"/>
      <c r="E57" s="10" t="str">
        <f>IF(B57="","",SUM('detail bilan HT'!D208:E208))</f>
        <v/>
      </c>
      <c r="F57" s="10" t="str">
        <f>IF(B57="","",'detail bilan HT'!V208-E57)</f>
        <v/>
      </c>
      <c r="G57" s="10" t="str">
        <f>IF(B57="","",SUM(E57:F57))</f>
        <v/>
      </c>
      <c r="H57" s="2">
        <v>0</v>
      </c>
      <c r="Q57" s="5"/>
      <c r="R57" s="5"/>
      <c r="S57" s="5"/>
    </row>
    <row r="58" spans="1:19" ht="12.95" customHeight="1">
      <c r="A58" s="17"/>
      <c r="B58" s="30" t="str">
        <f>IF(AND('detail bilan HT'!$V209=0,H58=0),"",'detail bilan HT'!B209)</f>
        <v/>
      </c>
      <c r="C58" s="30"/>
      <c r="D58" s="33"/>
      <c r="E58" s="10" t="str">
        <f>IF(B58="","",SUM('detail bilan HT'!D209:E209))</f>
        <v/>
      </c>
      <c r="F58" s="10" t="str">
        <f>IF(B58="","",'detail bilan HT'!V209-E58)</f>
        <v/>
      </c>
      <c r="G58" s="10" t="str">
        <f>IF(B58="","",SUM(E58:F58))</f>
        <v/>
      </c>
      <c r="H58" s="2">
        <v>0</v>
      </c>
      <c r="Q58" s="5"/>
      <c r="R58" s="5"/>
      <c r="S58" s="5"/>
    </row>
    <row r="59" spans="1:19" s="158" customFormat="1" ht="12.95" customHeight="1">
      <c r="A59" s="332"/>
      <c r="B59" s="333"/>
      <c r="C59" s="333"/>
      <c r="D59" s="334" t="str">
        <f>'detail bilan HT'!C210</f>
        <v>TOTAL C</v>
      </c>
      <c r="E59" s="335">
        <f>SUM(E56:E58)</f>
        <v>0</v>
      </c>
      <c r="F59" s="335">
        <f>SUM(F56:F58)</f>
        <v>0</v>
      </c>
      <c r="G59" s="335">
        <f>SUM(G56:G58)</f>
        <v>0</v>
      </c>
      <c r="H59" s="335">
        <f>SUM(H55:H58)</f>
        <v>0</v>
      </c>
      <c r="I59" s="159"/>
      <c r="Q59" s="159"/>
      <c r="R59" s="159"/>
      <c r="S59" s="159"/>
    </row>
    <row r="60" spans="1:19" ht="12.95" customHeight="1">
      <c r="A60" s="38" t="str">
        <f>'detail bilan HT'!A211</f>
        <v>D/PARTICIPATION DE LA COLLECTIVITE</v>
      </c>
      <c r="B60" s="35"/>
      <c r="C60" s="35"/>
      <c r="D60" s="36"/>
      <c r="E60" s="142"/>
      <c r="F60" s="142"/>
      <c r="G60" s="142"/>
      <c r="H60" s="204"/>
      <c r="Q60" s="5"/>
      <c r="R60" s="5"/>
      <c r="S60" s="5"/>
    </row>
    <row r="61" spans="1:19" ht="12.95" customHeight="1">
      <c r="A61" s="38"/>
      <c r="B61" s="30" t="str">
        <f>IF(AND('detail bilan HT'!$V212=0,H61=0),"",'detail bilan HT'!B212)</f>
        <v/>
      </c>
      <c r="C61" s="30"/>
      <c r="D61" s="33"/>
      <c r="E61" s="10" t="str">
        <f>IF(B61="","",SUM('detail bilan HT'!D212:E212))</f>
        <v/>
      </c>
      <c r="F61" s="10" t="str">
        <f>IF(B61="","",'detail bilan HT'!V212-E61)</f>
        <v/>
      </c>
      <c r="G61" s="10" t="str">
        <f>IF(B61="","",SUM(E61:F61))</f>
        <v/>
      </c>
      <c r="H61" s="2">
        <v>0</v>
      </c>
      <c r="Q61" s="5"/>
      <c r="R61" s="5"/>
      <c r="S61" s="5"/>
    </row>
    <row r="62" spans="1:19" ht="12.95" customHeight="1">
      <c r="A62" s="38"/>
      <c r="B62" s="30" t="str">
        <f>IF(AND('detail bilan HT'!$V213=0,H62=0),"",'detail bilan HT'!B213)</f>
        <v/>
      </c>
      <c r="C62" s="30"/>
      <c r="D62" s="33"/>
      <c r="E62" s="10" t="str">
        <f>IF(B62="","",SUM('detail bilan HT'!D213:E213))</f>
        <v/>
      </c>
      <c r="F62" s="10" t="str">
        <f>IF(B62="","",'detail bilan HT'!V213-E62)</f>
        <v/>
      </c>
      <c r="G62" s="10" t="str">
        <f>IF(B62="","",SUM(E62:F62))</f>
        <v/>
      </c>
      <c r="H62" s="2">
        <v>0</v>
      </c>
      <c r="Q62" s="5"/>
      <c r="R62" s="5"/>
      <c r="S62" s="5"/>
    </row>
    <row r="63" spans="1:19" ht="12.95" customHeight="1">
      <c r="A63" s="38"/>
      <c r="B63" s="30" t="str">
        <f>IF(AND('detail bilan HT'!$V214=0,H63=0),"",'detail bilan HT'!B214)</f>
        <v/>
      </c>
      <c r="C63" s="30"/>
      <c r="D63" s="33"/>
      <c r="E63" s="10" t="str">
        <f>IF(B63="","",SUM('detail bilan HT'!D214:E214))</f>
        <v/>
      </c>
      <c r="F63" s="10" t="str">
        <f>IF(B63="","",'detail bilan HT'!V214-E63)</f>
        <v/>
      </c>
      <c r="G63" s="10" t="str">
        <f>IF(B63="","",SUM(E63:F63))</f>
        <v/>
      </c>
      <c r="H63" s="2">
        <v>0</v>
      </c>
      <c r="Q63" s="5"/>
      <c r="R63" s="5"/>
      <c r="S63" s="5"/>
    </row>
    <row r="64" spans="1:19" ht="12.95" customHeight="1">
      <c r="A64" s="38"/>
      <c r="B64" s="30" t="str">
        <f>IF(AND('detail bilan HT'!$V215=0,H64=0),"",'detail bilan HT'!B215)</f>
        <v/>
      </c>
      <c r="C64" s="30"/>
      <c r="D64" s="33"/>
      <c r="E64" s="10" t="str">
        <f>IF(B64="","",SUM('detail bilan HT'!D215:E215))</f>
        <v/>
      </c>
      <c r="F64" s="10" t="str">
        <f>IF(B64="","",'detail bilan HT'!V215-E64)</f>
        <v/>
      </c>
      <c r="G64" s="10" t="str">
        <f>IF(B64="","",SUM(E64:F64))</f>
        <v/>
      </c>
      <c r="H64" s="2">
        <v>0</v>
      </c>
      <c r="Q64" s="5"/>
      <c r="R64" s="5"/>
      <c r="S64" s="5"/>
    </row>
    <row r="65" spans="1:20" s="158" customFormat="1" ht="12.95" customHeight="1">
      <c r="A65" s="336"/>
      <c r="B65" s="333"/>
      <c r="C65" s="333"/>
      <c r="D65" s="334" t="str">
        <f>'detail bilan HT'!C216</f>
        <v>TOTAL D</v>
      </c>
      <c r="E65" s="335">
        <f>SUM(E61:E64)</f>
        <v>0</v>
      </c>
      <c r="F65" s="335">
        <f>SUM(F61:F64)</f>
        <v>0</v>
      </c>
      <c r="G65" s="335">
        <f>SUM(G61:G64)</f>
        <v>0</v>
      </c>
      <c r="H65" s="335">
        <f>SUM(H61:H64)</f>
        <v>0</v>
      </c>
      <c r="I65" s="159"/>
      <c r="Q65" s="159"/>
      <c r="R65" s="159"/>
      <c r="S65" s="159"/>
    </row>
    <row r="66" spans="1:20" ht="3" customHeight="1">
      <c r="A66" s="38"/>
      <c r="B66" s="35"/>
      <c r="C66" s="35"/>
      <c r="D66" s="36"/>
      <c r="E66" s="202"/>
      <c r="F66" s="202"/>
      <c r="G66" s="202"/>
      <c r="H66" s="202"/>
      <c r="Q66" s="5"/>
      <c r="R66" s="5"/>
      <c r="S66" s="5"/>
    </row>
    <row r="67" spans="1:20" s="23" customFormat="1" ht="15" customHeight="1">
      <c r="A67" s="242"/>
      <c r="B67" s="243"/>
      <c r="C67" s="243"/>
      <c r="D67" s="244" t="s">
        <v>68</v>
      </c>
      <c r="E67" s="281">
        <f>SUM(E52,E54,E59,E65)</f>
        <v>0</v>
      </c>
      <c r="F67" s="281">
        <f>SUM(F52,F54,F59,F65)</f>
        <v>7500</v>
      </c>
      <c r="G67" s="281">
        <f>SUM(G52,G54,G59,G65)</f>
        <v>7500</v>
      </c>
      <c r="H67" s="281">
        <f>SUM(H52,H54,H59,H65)</f>
        <v>7500</v>
      </c>
      <c r="I67" s="41"/>
      <c r="Q67" s="41"/>
      <c r="R67" s="41"/>
      <c r="S67" s="41"/>
      <c r="T67" s="41"/>
    </row>
    <row r="68" spans="1:20" ht="15" customHeight="1"/>
    <row r="69" spans="1:20" ht="15" customHeight="1"/>
    <row r="70" spans="1:20" ht="15" customHeight="1"/>
    <row r="71" spans="1:20" ht="15" customHeight="1">
      <c r="O71" s="5"/>
      <c r="P71" s="5"/>
      <c r="Q71" s="5"/>
      <c r="R71" s="5"/>
      <c r="T71" s="5"/>
    </row>
    <row r="72" spans="1:20" ht="15" customHeight="1">
      <c r="O72" s="5"/>
      <c r="P72" s="5"/>
      <c r="Q72" s="5"/>
      <c r="R72" s="5"/>
      <c r="T72" s="3"/>
    </row>
    <row r="78" spans="1:20" ht="6" customHeight="1"/>
    <row r="80" spans="1:20" ht="6" customHeight="1"/>
    <row r="86" spans="20:21">
      <c r="T86" s="5"/>
    </row>
    <row r="87" spans="20:21">
      <c r="T87" s="5"/>
    </row>
    <row r="88" spans="20:21">
      <c r="T88" s="5"/>
    </row>
    <row r="89" spans="20:21">
      <c r="U89" s="5"/>
    </row>
    <row r="90" spans="20:21">
      <c r="U90" s="5"/>
    </row>
  </sheetData>
  <sheetProtection password="CB8E" sheet="1" objects="1" scenarios="1"/>
  <mergeCells count="1">
    <mergeCell ref="A2:H2"/>
  </mergeCells>
  <phoneticPr fontId="0" type="noConversion"/>
  <printOptions horizontalCentered="1"/>
  <pageMargins left="0" right="0" top="0" bottom="0" header="0" footer="0"/>
  <pageSetup paperSize="9" scale="98" orientation="portrait" r:id="rId1"/>
  <headerFooter alignWithMargins="0">
    <oddHeader xml:space="preserve">&amp;L
&amp;R&amp;"Bookman Old Style,Normal"
</oddHeader>
    <oddFooter>&amp;R&amp;"Times New Roman,Gras Italique"&amp;9SODEMEL 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"/>
  <sheetViews>
    <sheetView tabSelected="1" topLeftCell="A13" workbookViewId="0">
      <selection activeCell="G36" sqref="G36"/>
    </sheetView>
  </sheetViews>
  <sheetFormatPr baseColWidth="10" defaultRowHeight="15"/>
  <cols>
    <col min="1" max="1" width="2.7109375" style="4" customWidth="1"/>
    <col min="2" max="2" width="18" style="4" customWidth="1"/>
    <col min="3" max="3" width="9.42578125" style="4" customWidth="1"/>
    <col min="4" max="7" width="9.7109375" style="4" customWidth="1"/>
    <col min="8" max="8" width="9.7109375" style="5" customWidth="1"/>
    <col min="9" max="9" width="11" style="5" customWidth="1"/>
    <col min="10" max="10" width="0.42578125" customWidth="1"/>
    <col min="11" max="11" width="10.85546875" style="5" customWidth="1"/>
    <col min="12" max="20" width="6.7109375" style="4" customWidth="1"/>
    <col min="21" max="23" width="7.7109375" style="4" customWidth="1"/>
    <col min="24" max="33" width="7.5703125" style="4" customWidth="1"/>
    <col min="34" max="16384" width="11.42578125" style="4"/>
  </cols>
  <sheetData>
    <row r="1" spans="1:21" s="162" customFormat="1" ht="17.100000000000001" customHeight="1">
      <c r="A1" s="409" t="str">
        <f>données!A1</f>
        <v>PARC D'ACTIVITES ANGERS MARCE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21" s="135" customFormat="1" ht="17.100000000000001" customHeight="1">
      <c r="A2" s="410" t="str">
        <f>CONCATENATE(IF('bilan HT'!$H$40=0,"ECHEANCIER PREVISIONNEL DES DEPENSES ET DES RECETTES AU ","ECHEANCIER PREVISIONNEL REVISE DES DEPENSES ET DES RECETTES AU "),DAY(dateCRAC),"/",MONTH(dateCRAC),"/",YEAR(dateCRAC))</f>
        <v>ECHEANCIER PREVISIONNEL REVISE DES DEPENSES ET DES RECETTES AU 31/12/2011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21" s="189" customFormat="1" ht="11.1" customHeight="1">
      <c r="A3" s="282" t="s">
        <v>1</v>
      </c>
      <c r="B3" s="283"/>
      <c r="C3" s="284"/>
      <c r="D3" s="285" t="s">
        <v>2</v>
      </c>
      <c r="E3" s="271" t="str">
        <f>IF('detail bilan HT'!$F$5&gt;(datedépart-2),"","Prévisions")</f>
        <v/>
      </c>
      <c r="F3" s="271" t="s">
        <v>1</v>
      </c>
      <c r="G3" s="271" t="s">
        <v>1</v>
      </c>
      <c r="H3" s="271"/>
      <c r="I3" s="270" t="s">
        <v>120</v>
      </c>
      <c r="J3"/>
      <c r="K3" s="271" t="s">
        <v>108</v>
      </c>
    </row>
    <row r="4" spans="1:21" s="188" customFormat="1" ht="12.95" customHeight="1">
      <c r="A4" s="286" t="s">
        <v>3</v>
      </c>
      <c r="B4" s="287"/>
      <c r="C4" s="288"/>
      <c r="D4" s="289" t="s">
        <v>4</v>
      </c>
      <c r="E4" s="290" t="str">
        <f>IF('detail bilan HT'!$F$5&gt;(datedépart-2),"Prévisions",'detail bilan HT'!$F$5)</f>
        <v>Prévisions</v>
      </c>
      <c r="F4" s="291" t="s">
        <v>121</v>
      </c>
      <c r="G4" s="291" t="s">
        <v>121</v>
      </c>
      <c r="H4" s="291" t="s">
        <v>121</v>
      </c>
      <c r="I4" s="291" t="s">
        <v>122</v>
      </c>
      <c r="J4"/>
      <c r="K4" s="291" t="s">
        <v>123</v>
      </c>
    </row>
    <row r="5" spans="1:21" ht="11.1" customHeight="1">
      <c r="A5" s="260"/>
      <c r="B5" s="261"/>
      <c r="C5" s="292" t="str">
        <f>'detail bilan HT'!$C$6</f>
        <v>K€ HT</v>
      </c>
      <c r="D5" s="293">
        <f>'detail bilan HT'!D6</f>
        <v>2011</v>
      </c>
      <c r="E5" s="293">
        <f>IF(OR('detail bilan HT'!$F$5&gt;datedépart,'detail bilan HT'!$F$5=datedépart),'detail bilan HT'!$F$5,(datedépart-1))</f>
        <v>2012</v>
      </c>
      <c r="F5" s="293">
        <f>E5+1</f>
        <v>2013</v>
      </c>
      <c r="G5" s="293">
        <f>F5+1</f>
        <v>2014</v>
      </c>
      <c r="H5" s="293">
        <f>G5+1</f>
        <v>2015</v>
      </c>
      <c r="I5" s="294" t="s">
        <v>124</v>
      </c>
      <c r="K5" s="295">
        <f>'detail bilan HT'!E6</f>
        <v>39446</v>
      </c>
    </row>
    <row r="6" spans="1:21" s="5" customFormat="1" ht="14.1" customHeight="1">
      <c r="A6" s="7" t="str">
        <f>'bilan HT'!A6</f>
        <v>1/FONCIER</v>
      </c>
      <c r="B6" s="8"/>
      <c r="C6"/>
      <c r="D6" s="10"/>
      <c r="E6" s="10"/>
      <c r="F6" s="10"/>
      <c r="G6" s="10"/>
      <c r="H6" s="10"/>
      <c r="I6" s="10"/>
      <c r="J6"/>
      <c r="K6" s="10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5" customFormat="1" ht="12.95" customHeight="1">
      <c r="A7" s="7"/>
      <c r="B7" s="12" t="str">
        <f>'bilan HT'!B7</f>
        <v>Acquisitions, frais d'actes</v>
      </c>
      <c r="C7" s="12"/>
      <c r="D7" s="10">
        <f>'detail bilan HT'!D12</f>
        <v>1113</v>
      </c>
      <c r="E7" s="10">
        <f>SUM('detail bilan HT'!E12:F12,IF('detail bilan HT'!$G$5&lt;datedépart,'detail bilan HT'!G12,0),IF('detail bilan HT'!$H$5&lt;datedépart,'detail bilan HT'!H12,0),IF('detail bilan HT'!$I$5&lt;datedépart,'detail bilan HT'!I12,0))</f>
        <v>10</v>
      </c>
      <c r="F7" s="10">
        <f>IF(OR('detail bilan HT'!$G$5=datedépart,'detail bilan HT'!$G$5&gt;datedépart),'detail bilan HT'!G12,IF('detail bilan HT'!$H$5=datedépart,'detail bilan HT'!H12,IF('detail bilan HT'!$I$5=datedépart,'detail bilan HT'!I12,IF('detail bilan HT'!$J$5=datedépart,'detail bilan HT'!J12))))</f>
        <v>0</v>
      </c>
      <c r="G7" s="10">
        <f>IF(OR('detail bilan HT'!$G$5=datedépart,'detail bilan HT'!$G$5&gt;datedépart),'detail bilan HT'!H12,IF('detail bilan HT'!$H$5=datedépart,'detail bilan HT'!I12,IF('detail bilan HT'!$I$5=datedépart,'detail bilan HT'!J12,IF('detail bilan HT'!$J$5=datedépart,'detail bilan HT'!K12))))</f>
        <v>0</v>
      </c>
      <c r="H7" s="10">
        <f>IF(OR('detail bilan HT'!$G$5=datedépart,'detail bilan HT'!$G$5&gt;datedépart),'detail bilan HT'!I12,IF('detail bilan HT'!$H$5=datedépart,'detail bilan HT'!J12,IF('detail bilan HT'!$I$5=datedépart,'detail bilan HT'!K12,IF('detail bilan HT'!$J$5=datedépart,'detail bilan HT'!L12))))</f>
        <v>0</v>
      </c>
      <c r="I7" s="10">
        <f>'detail bilan HT'!V12-SUM(D7:H7)</f>
        <v>0</v>
      </c>
      <c r="J7"/>
      <c r="K7" s="10">
        <f>SUM(D7:J7)</f>
        <v>1123</v>
      </c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5" customFormat="1" ht="12.95" customHeight="1">
      <c r="A8" s="7"/>
      <c r="B8" s="12" t="str">
        <f>'bilan HT'!B8</f>
        <v>Impôts, autres charges foncières</v>
      </c>
      <c r="C8"/>
      <c r="D8" s="10">
        <f>'detail bilan HT'!D17</f>
        <v>26</v>
      </c>
      <c r="E8" s="10">
        <f>SUM('detail bilan HT'!E17:F17,IF('detail bilan HT'!$G$5&lt;datedépart,'detail bilan HT'!G17,0),IF('detail bilan HT'!$H$5&lt;datedépart,'detail bilan HT'!H17,0),IF('detail bilan HT'!$I$5&lt;datedépart,'detail bilan HT'!I17,0))</f>
        <v>14</v>
      </c>
      <c r="F8" s="10">
        <f>IF(OR('detail bilan HT'!$G$5=datedépart,'detail bilan HT'!$G$5&gt;datedépart),'detail bilan HT'!G17,IF('detail bilan HT'!$H$5=datedépart,'detail bilan HT'!H17,IF('detail bilan HT'!$I$5=datedépart,'detail bilan HT'!I17,IF('detail bilan HT'!$J$5=datedépart,'detail bilan HT'!J17))))</f>
        <v>13</v>
      </c>
      <c r="G8" s="10">
        <f>IF(OR('detail bilan HT'!$G$5=datedépart,'detail bilan HT'!$G$5&gt;datedépart),'detail bilan HT'!H17,IF('detail bilan HT'!$H$5=datedépart,'detail bilan HT'!I17,IF('detail bilan HT'!$I$5=datedépart,'detail bilan HT'!J17,IF('detail bilan HT'!$J$5=datedépart,'detail bilan HT'!K17))))</f>
        <v>0</v>
      </c>
      <c r="H8" s="10">
        <f>IF(OR('detail bilan HT'!$G$5=datedépart,'detail bilan HT'!$G$5&gt;datedépart),'detail bilan HT'!I17,IF('detail bilan HT'!$H$5=datedépart,'detail bilan HT'!J17,IF('detail bilan HT'!$I$5=datedépart,'detail bilan HT'!K17,IF('detail bilan HT'!$J$5=datedépart,'detail bilan HT'!L17))))</f>
        <v>0</v>
      </c>
      <c r="I8" s="10">
        <f>'detail bilan HT'!V17-SUM(D8:H8)</f>
        <v>0</v>
      </c>
      <c r="J8"/>
      <c r="K8" s="10">
        <f>SUM(D8:J8)</f>
        <v>53</v>
      </c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s="5" customFormat="1" ht="12.95" customHeight="1">
      <c r="A9" s="1"/>
      <c r="B9" s="13"/>
      <c r="C9" s="13" t="s">
        <v>13</v>
      </c>
      <c r="D9" s="14">
        <f t="shared" ref="D9:I9" si="0">SUM(D7:D8)</f>
        <v>1139</v>
      </c>
      <c r="E9" s="14">
        <f t="shared" si="0"/>
        <v>24</v>
      </c>
      <c r="F9" s="14">
        <f t="shared" si="0"/>
        <v>13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/>
      <c r="K9" s="14">
        <f>SUM(K7:K8)</f>
        <v>1176</v>
      </c>
      <c r="L9" s="4"/>
      <c r="M9" s="4"/>
      <c r="N9" s="4"/>
      <c r="O9" s="4"/>
      <c r="P9" s="4"/>
      <c r="Q9" s="4"/>
      <c r="R9" s="4"/>
      <c r="S9" s="4"/>
      <c r="T9" s="4"/>
    </row>
    <row r="10" spans="1:21" s="5" customFormat="1" ht="12.95" customHeight="1">
      <c r="A10" s="7" t="str">
        <f>'bilan HT'!A10</f>
        <v>2/ETUDES</v>
      </c>
      <c r="B10"/>
      <c r="C10"/>
      <c r="D10" s="10"/>
      <c r="E10" s="10"/>
      <c r="F10" s="10"/>
      <c r="G10" s="10"/>
      <c r="H10" s="10"/>
      <c r="I10" s="10"/>
      <c r="J10"/>
      <c r="K10" s="10"/>
      <c r="L10" s="4"/>
      <c r="M10" s="4"/>
      <c r="N10" s="4"/>
      <c r="O10" s="4"/>
      <c r="P10" s="4"/>
      <c r="Q10" s="4"/>
      <c r="R10" s="4"/>
      <c r="S10" s="4"/>
      <c r="T10" s="4"/>
    </row>
    <row r="11" spans="1:21" s="5" customFormat="1" ht="12.95" customHeight="1">
      <c r="A11" s="7"/>
      <c r="B11" s="12" t="str">
        <f>'bilan HT'!B11</f>
        <v>Etudes de faisabilité</v>
      </c>
      <c r="C11" s="12"/>
      <c r="D11" s="10">
        <f>'detail bilan HT'!D28</f>
        <v>63</v>
      </c>
      <c r="E11" s="10">
        <f>SUM('detail bilan HT'!E28:F28,IF('detail bilan HT'!$G$5&lt;datedépart,'detail bilan HT'!G28,0),IF('detail bilan HT'!$H$5&lt;datedépart,'detail bilan HT'!H28,0),IF('detail bilan HT'!$I$5&lt;datedépart,'detail bilan HT'!I28,0))</f>
        <v>0</v>
      </c>
      <c r="F11" s="10">
        <f>IF(OR('detail bilan HT'!$G$5=datedépart,'detail bilan HT'!$G$5&gt;datedépart),'detail bilan HT'!G28,IF('detail bilan HT'!$H$5=datedépart,'detail bilan HT'!H28,IF('detail bilan HT'!$I$5=datedépart,'detail bilan HT'!I28,IF('detail bilan HT'!$J$5=datedépart,'detail bilan HT'!J28))))</f>
        <v>0</v>
      </c>
      <c r="G11" s="10">
        <f>IF(OR('detail bilan HT'!$G$5=datedépart,'detail bilan HT'!$G$5&gt;datedépart),'detail bilan HT'!H28,IF('detail bilan HT'!$H$5=datedépart,'detail bilan HT'!I28,IF('detail bilan HT'!$I$5=datedépart,'detail bilan HT'!J28,IF('detail bilan HT'!$J$5=datedépart,'detail bilan HT'!K28))))</f>
        <v>0</v>
      </c>
      <c r="H11" s="10">
        <f>IF(OR('detail bilan HT'!$G$5=datedépart,'detail bilan HT'!$G$5&gt;datedépart),'detail bilan HT'!I28,IF('detail bilan HT'!$H$5=datedépart,'detail bilan HT'!J28,IF('detail bilan HT'!$I$5=datedépart,'detail bilan HT'!K28,IF('detail bilan HT'!$J$5=datedépart,'detail bilan HT'!L28))))</f>
        <v>0</v>
      </c>
      <c r="I11" s="10">
        <f>'detail bilan HT'!V28-SUM(D11:H11)</f>
        <v>0</v>
      </c>
      <c r="J11"/>
      <c r="K11" s="10">
        <f>SUM(D11:J11)</f>
        <v>63</v>
      </c>
      <c r="L11" s="4"/>
      <c r="M11" s="4"/>
      <c r="N11" s="4"/>
      <c r="O11" s="4"/>
      <c r="P11" s="4"/>
      <c r="Q11" s="4"/>
      <c r="R11" s="4"/>
      <c r="S11" s="4"/>
      <c r="T11" s="4"/>
    </row>
    <row r="12" spans="1:21" s="5" customFormat="1" ht="12.95" customHeight="1">
      <c r="A12" s="15"/>
      <c r="B12" s="12" t="str">
        <f>'bilan HT'!B12</f>
        <v>Etudes de réalisation</v>
      </c>
      <c r="C12"/>
      <c r="D12" s="17">
        <f>'detail bilan HT'!D37</f>
        <v>41</v>
      </c>
      <c r="E12" s="10">
        <f>SUM('detail bilan HT'!E37:F37,IF('detail bilan HT'!$G$5&lt;datedépart,'detail bilan HT'!G37,0),IF('detail bilan HT'!$H$5&lt;datedépart,'detail bilan HT'!H37,0),IF('detail bilan HT'!$I$5&lt;datedépart,'detail bilan HT'!I37,0))</f>
        <v>25</v>
      </c>
      <c r="F12" s="10">
        <f>IF(OR('detail bilan HT'!$G$5=datedépart,'detail bilan HT'!$G$5&gt;datedépart),'detail bilan HT'!G37,IF('detail bilan HT'!$H$5=datedépart,'detail bilan HT'!H37,IF('detail bilan HT'!$I$5=datedépart,'detail bilan HT'!I37,IF('detail bilan HT'!$J$5=datedépart,'detail bilan HT'!J37))))</f>
        <v>44</v>
      </c>
      <c r="G12" s="10">
        <f>IF(OR('detail bilan HT'!$G$5=datedépart,'detail bilan HT'!$G$5&gt;datedépart),'detail bilan HT'!H37,IF('detail bilan HT'!$H$5=datedépart,'detail bilan HT'!I37,IF('detail bilan HT'!$I$5=datedépart,'detail bilan HT'!J37,IF('detail bilan HT'!$J$5=datedépart,'detail bilan HT'!K37))))</f>
        <v>54</v>
      </c>
      <c r="H12" s="10">
        <f>IF(OR('detail bilan HT'!$G$5=datedépart,'detail bilan HT'!$G$5&gt;datedépart),'detail bilan HT'!I37,IF('detail bilan HT'!$H$5=datedépart,'detail bilan HT'!J37,IF('detail bilan HT'!$I$5=datedépart,'detail bilan HT'!K37,IF('detail bilan HT'!$J$5=datedépart,'detail bilan HT'!L37))))</f>
        <v>0</v>
      </c>
      <c r="I12" s="10">
        <f>'detail bilan HT'!V37-SUM(D12:H12)</f>
        <v>0</v>
      </c>
      <c r="J12"/>
      <c r="K12" s="10">
        <f>SUM(D12:J12)</f>
        <v>164</v>
      </c>
      <c r="L12" s="4"/>
      <c r="M12" s="4"/>
      <c r="N12" s="4"/>
      <c r="O12" s="4"/>
      <c r="P12" s="4"/>
      <c r="Q12" s="4"/>
      <c r="R12" s="4"/>
      <c r="S12" s="4"/>
      <c r="T12" s="4"/>
    </row>
    <row r="13" spans="1:21" s="5" customFormat="1" ht="12.95" customHeight="1">
      <c r="A13" s="18"/>
      <c r="B13"/>
      <c r="C13" s="13" t="s">
        <v>20</v>
      </c>
      <c r="D13" s="14">
        <f t="shared" ref="D13:I13" si="1">SUM(D11:D12)</f>
        <v>104</v>
      </c>
      <c r="E13" s="14">
        <f t="shared" si="1"/>
        <v>25</v>
      </c>
      <c r="F13" s="14">
        <f t="shared" si="1"/>
        <v>44</v>
      </c>
      <c r="G13" s="14">
        <f t="shared" si="1"/>
        <v>54</v>
      </c>
      <c r="H13" s="14">
        <f t="shared" si="1"/>
        <v>0</v>
      </c>
      <c r="I13" s="14">
        <f t="shared" si="1"/>
        <v>0</v>
      </c>
      <c r="J13"/>
      <c r="K13" s="14">
        <f>SUM(K11:K12)</f>
        <v>227</v>
      </c>
      <c r="L13" s="4"/>
      <c r="M13" s="4"/>
      <c r="N13" s="4"/>
      <c r="O13" s="4"/>
      <c r="P13" s="4"/>
      <c r="Q13" s="4"/>
      <c r="R13" s="4"/>
      <c r="S13" s="4"/>
      <c r="T13" s="4"/>
    </row>
    <row r="14" spans="1:21" s="5" customFormat="1" ht="12.95" customHeight="1">
      <c r="A14" s="7" t="str">
        <f>'bilan HT'!A14</f>
        <v>3/TRAVAUX</v>
      </c>
      <c r="B14" s="8"/>
      <c r="C14" s="8"/>
      <c r="D14" s="10"/>
      <c r="E14" s="10"/>
      <c r="F14" s="10"/>
      <c r="G14" s="10"/>
      <c r="H14" s="10"/>
      <c r="I14" s="10"/>
      <c r="J14"/>
      <c r="K14" s="10"/>
      <c r="L14" s="4"/>
      <c r="M14" s="4"/>
      <c r="N14" s="4"/>
      <c r="O14" s="4"/>
      <c r="P14" s="4"/>
      <c r="Q14" s="4"/>
      <c r="R14" s="4"/>
      <c r="S14" s="4"/>
      <c r="T14" s="4"/>
    </row>
    <row r="15" spans="1:21" s="5" customFormat="1" ht="12.95" customHeight="1">
      <c r="A15" s="11"/>
      <c r="B15" s="12" t="str">
        <f>'bilan HT'!B15</f>
        <v>Diagnostic &amp; fouilles archéologiques</v>
      </c>
      <c r="C15" s="12"/>
      <c r="D15" s="10">
        <f>'detail bilan HT'!D46</f>
        <v>396</v>
      </c>
      <c r="E15" s="10">
        <f>SUM('detail bilan HT'!E46:F46,IF('detail bilan HT'!$G$5&lt;datedépart,'detail bilan HT'!G46,0),IF('detail bilan HT'!$H$5&lt;datedépart,'detail bilan HT'!H46,0),IF('detail bilan HT'!$I$5&lt;datedépart,'detail bilan HT'!I46,0))</f>
        <v>0</v>
      </c>
      <c r="F15" s="10">
        <f>IF(OR('detail bilan HT'!$G$5=datedépart,'detail bilan HT'!$G$5&gt;datedépart),'detail bilan HT'!G46,IF('detail bilan HT'!$H$5=datedépart,'detail bilan HT'!H46,IF('detail bilan HT'!$I$5=datedépart,'detail bilan HT'!I46,IF('detail bilan HT'!$J$5=datedépart,'detail bilan HT'!J46))))</f>
        <v>0</v>
      </c>
      <c r="G15" s="10">
        <f>IF(OR('detail bilan HT'!$G$5=datedépart,'detail bilan HT'!$G$5&gt;datedépart),'detail bilan HT'!H46,IF('detail bilan HT'!$H$5=datedépart,'detail bilan HT'!I46,IF('detail bilan HT'!$I$5=datedépart,'detail bilan HT'!J46,IF('detail bilan HT'!$J$5=datedépart,'detail bilan HT'!K46))))</f>
        <v>0</v>
      </c>
      <c r="H15" s="10">
        <f>IF(OR('detail bilan HT'!$G$5=datedépart,'detail bilan HT'!$G$5&gt;datedépart),'detail bilan HT'!I46,IF('detail bilan HT'!$H$5=datedépart,'detail bilan HT'!J46,IF('detail bilan HT'!$I$5=datedépart,'detail bilan HT'!K46,IF('detail bilan HT'!$J$5=datedépart,'detail bilan HT'!L46))))</f>
        <v>0</v>
      </c>
      <c r="I15" s="10">
        <f>'detail bilan HT'!V46-SUM(D15:H15)</f>
        <v>0</v>
      </c>
      <c r="J15"/>
      <c r="K15" s="10">
        <f t="shared" ref="K15:K22" si="2">SUM(D15:J15)</f>
        <v>396</v>
      </c>
      <c r="L15" s="4"/>
      <c r="M15" s="4"/>
      <c r="N15" s="4"/>
      <c r="O15" s="4"/>
      <c r="P15" s="4"/>
      <c r="Q15" s="4"/>
      <c r="R15" s="4"/>
      <c r="S15" s="4"/>
      <c r="T15" s="4"/>
    </row>
    <row r="16" spans="1:21" s="5" customFormat="1" ht="12.95" customHeight="1">
      <c r="A16" s="11"/>
      <c r="B16" s="12" t="str">
        <f>'bilan HT'!B16</f>
        <v>Travaux extérieurs</v>
      </c>
      <c r="C16" s="12"/>
      <c r="D16" s="10">
        <f>'detail bilan HT'!D53</f>
        <v>0</v>
      </c>
      <c r="E16" s="10">
        <f>SUM('detail bilan HT'!E53:F53,IF('detail bilan HT'!$G$5&lt;datedépart,'detail bilan HT'!G53,0),IF('detail bilan HT'!$H$5&lt;datedépart,'detail bilan HT'!H53,0),IF('detail bilan HT'!$I$5&lt;datedépart,'detail bilan HT'!I53,0))</f>
        <v>0</v>
      </c>
      <c r="F16" s="10">
        <f>IF(OR('detail bilan HT'!$G$5=datedépart,'detail bilan HT'!$G$5&gt;datedépart),'detail bilan HT'!G53,IF('detail bilan HT'!$H$5=datedépart,'detail bilan HT'!H53,IF('detail bilan HT'!$I$5=datedépart,'detail bilan HT'!I53,IF('detail bilan HT'!$J$5=datedépart,'detail bilan HT'!J53))))</f>
        <v>0</v>
      </c>
      <c r="G16" s="10">
        <f>IF(OR('detail bilan HT'!$G$5=datedépart,'detail bilan HT'!$G$5&gt;datedépart),'detail bilan HT'!H53,IF('detail bilan HT'!$H$5=datedépart,'detail bilan HT'!I53,IF('detail bilan HT'!$I$5=datedépart,'detail bilan HT'!J53,IF('detail bilan HT'!$J$5=datedépart,'detail bilan HT'!K53))))</f>
        <v>0</v>
      </c>
      <c r="H16" s="10">
        <f>IF(OR('detail bilan HT'!$G$5=datedépart,'detail bilan HT'!$G$5&gt;datedépart),'detail bilan HT'!I53,IF('detail bilan HT'!$H$5=datedépart,'detail bilan HT'!J53,IF('detail bilan HT'!$I$5=datedépart,'detail bilan HT'!K53,IF('detail bilan HT'!$J$5=datedépart,'detail bilan HT'!L53))))</f>
        <v>0</v>
      </c>
      <c r="I16" s="10">
        <f>'detail bilan HT'!V53-SUM(D16:H16)</f>
        <v>0</v>
      </c>
      <c r="J16"/>
      <c r="K16" s="10">
        <f>SUM(D16:J16)</f>
        <v>0</v>
      </c>
      <c r="L16" s="4"/>
      <c r="M16" s="4"/>
      <c r="N16" s="4"/>
      <c r="O16" s="4"/>
      <c r="P16" s="4"/>
      <c r="Q16" s="4"/>
      <c r="R16" s="4"/>
      <c r="S16" s="4"/>
      <c r="T16" s="4"/>
    </row>
    <row r="17" spans="1:20" s="5" customFormat="1" ht="12.95" customHeight="1">
      <c r="A17" s="11"/>
      <c r="B17" s="12" t="str">
        <f>'bilan HT'!B17</f>
        <v>Aménagements de sols</v>
      </c>
      <c r="C17" s="12"/>
      <c r="D17" s="10">
        <f>'detail bilan HT'!D60</f>
        <v>0</v>
      </c>
      <c r="E17" s="10">
        <f>SUM('detail bilan HT'!E60:F60,IF('detail bilan HT'!$G$5&lt;datedépart,'detail bilan HT'!G60,0),IF('detail bilan HT'!$H$5&lt;datedépart,'detail bilan HT'!H60,0),IF('detail bilan HT'!$I$5&lt;datedépart,'detail bilan HT'!I60,0))</f>
        <v>0</v>
      </c>
      <c r="F17" s="10">
        <f>IF(OR('detail bilan HT'!$G$5=datedépart,'detail bilan HT'!$G$5&gt;datedépart),'detail bilan HT'!G60,IF('detail bilan HT'!$H$5=datedépart,'detail bilan HT'!H60,IF('detail bilan HT'!$I$5=datedépart,'detail bilan HT'!I60,IF('detail bilan HT'!$J$5=datedépart,'detail bilan HT'!J60))))</f>
        <v>0</v>
      </c>
      <c r="G17" s="10">
        <f>IF(OR('detail bilan HT'!$G$5=datedépart,'detail bilan HT'!$G$5&gt;datedépart),'detail bilan HT'!H60,IF('detail bilan HT'!$H$5=datedépart,'detail bilan HT'!I60,IF('detail bilan HT'!$I$5=datedépart,'detail bilan HT'!J60,IF('detail bilan HT'!$J$5=datedépart,'detail bilan HT'!K60))))</f>
        <v>0</v>
      </c>
      <c r="H17" s="10">
        <f>IF(OR('detail bilan HT'!$G$5=datedépart,'detail bilan HT'!$G$5&gt;datedépart),'detail bilan HT'!I60,IF('detail bilan HT'!$H$5=datedépart,'detail bilan HT'!J60,IF('detail bilan HT'!$I$5=datedépart,'detail bilan HT'!K60,IF('detail bilan HT'!$J$5=datedépart,'detail bilan HT'!L60))))</f>
        <v>0</v>
      </c>
      <c r="I17" s="10">
        <f>'detail bilan HT'!V60-SUM(D17:H17)</f>
        <v>0</v>
      </c>
      <c r="J17"/>
      <c r="K17" s="10">
        <f t="shared" si="2"/>
        <v>0</v>
      </c>
      <c r="L17" s="4"/>
      <c r="M17" s="4"/>
      <c r="N17" s="4"/>
      <c r="O17" s="4"/>
      <c r="P17" s="4"/>
      <c r="Q17" s="4"/>
      <c r="R17" s="4"/>
      <c r="S17" s="4"/>
      <c r="T17" s="4"/>
    </row>
    <row r="18" spans="1:20" s="5" customFormat="1" ht="12.95" customHeight="1">
      <c r="A18" s="11"/>
      <c r="B18" s="12" t="str">
        <f>'bilan HT'!B18</f>
        <v>Voirie, assainissement, eau potable</v>
      </c>
      <c r="C18" s="12"/>
      <c r="D18" s="10">
        <f>'detail bilan HT'!D67</f>
        <v>1285</v>
      </c>
      <c r="E18" s="10">
        <f>SUM('detail bilan HT'!E67:F67,IF('detail bilan HT'!$G$5&lt;datedépart,'detail bilan HT'!G67,0),IF('detail bilan HT'!$H$5&lt;datedépart,'detail bilan HT'!H67,0),IF('detail bilan HT'!$I$5&lt;datedépart,'detail bilan HT'!I67,0))</f>
        <v>0</v>
      </c>
      <c r="F18" s="10">
        <f>IF(OR('detail bilan HT'!$G$5=datedépart,'detail bilan HT'!$G$5&gt;datedépart),'detail bilan HT'!G67,IF('detail bilan HT'!$H$5=datedépart,'detail bilan HT'!H67,IF('detail bilan HT'!$I$5=datedépart,'detail bilan HT'!I67,IF('detail bilan HT'!$J$5=datedépart,'detail bilan HT'!J67))))</f>
        <v>0</v>
      </c>
      <c r="G18" s="10">
        <f>IF(OR('detail bilan HT'!$G$5=datedépart,'detail bilan HT'!$G$5&gt;datedépart),'detail bilan HT'!H67,IF('detail bilan HT'!$H$5=datedépart,'detail bilan HT'!I67,IF('detail bilan HT'!$I$5=datedépart,'detail bilan HT'!J67,IF('detail bilan HT'!$J$5=datedépart,'detail bilan HT'!K67))))</f>
        <v>0</v>
      </c>
      <c r="H18" s="10">
        <f>IF(OR('detail bilan HT'!$G$5=datedépart,'detail bilan HT'!$G$5&gt;datedépart),'detail bilan HT'!I67,IF('detail bilan HT'!$H$5=datedépart,'detail bilan HT'!J67,IF('detail bilan HT'!$I$5=datedépart,'detail bilan HT'!K67,IF('detail bilan HT'!$J$5=datedépart,'detail bilan HT'!L67))))</f>
        <v>0</v>
      </c>
      <c r="I18" s="10">
        <f>'detail bilan HT'!V67-SUM(D18:H18)</f>
        <v>1200</v>
      </c>
      <c r="J18"/>
      <c r="K18" s="10">
        <f t="shared" si="2"/>
        <v>2485</v>
      </c>
      <c r="L18" s="4"/>
      <c r="M18" s="4"/>
      <c r="N18" s="4"/>
      <c r="O18" s="4"/>
      <c r="P18" s="4"/>
      <c r="Q18" s="4"/>
      <c r="R18" s="4"/>
      <c r="S18" s="4"/>
      <c r="T18" s="4"/>
    </row>
    <row r="19" spans="1:20" s="5" customFormat="1" ht="12.95" customHeight="1">
      <c r="A19" s="11"/>
      <c r="B19" s="12" t="str">
        <f>'bilan HT'!B19</f>
        <v>Electricité, téléphone, éclairage public</v>
      </c>
      <c r="C19" s="12"/>
      <c r="D19" s="10">
        <f>'detail bilan HT'!D74</f>
        <v>454</v>
      </c>
      <c r="E19" s="10">
        <f>SUM('detail bilan HT'!E74:F74,IF('detail bilan HT'!$G$5&lt;datedépart,'detail bilan HT'!G74,0),IF('detail bilan HT'!$H$5&lt;datedépart,'detail bilan HT'!H74,0),IF('detail bilan HT'!$I$5&lt;datedépart,'detail bilan HT'!I74,0))</f>
        <v>0</v>
      </c>
      <c r="F19" s="10">
        <f>IF(OR('detail bilan HT'!$G$5=datedépart,'detail bilan HT'!$G$5&gt;datedépart),'detail bilan HT'!G74,IF('detail bilan HT'!$H$5=datedépart,'detail bilan HT'!H74,IF('detail bilan HT'!$I$5=datedépart,'detail bilan HT'!I74,IF('detail bilan HT'!$J$5=datedépart,'detail bilan HT'!J74))))</f>
        <v>0</v>
      </c>
      <c r="G19" s="10">
        <f>IF(OR('detail bilan HT'!$G$5=datedépart,'detail bilan HT'!$G$5&gt;datedépart),'detail bilan HT'!H74,IF('detail bilan HT'!$H$5=datedépart,'detail bilan HT'!I74,IF('detail bilan HT'!$I$5=datedépart,'detail bilan HT'!J74,IF('detail bilan HT'!$J$5=datedépart,'detail bilan HT'!K74))))</f>
        <v>0</v>
      </c>
      <c r="H19" s="10">
        <f>IF(OR('detail bilan HT'!$G$5=datedépart,'detail bilan HT'!$G$5&gt;datedépart),'detail bilan HT'!I74,IF('detail bilan HT'!$H$5=datedépart,'detail bilan HT'!J74,IF('detail bilan HT'!$I$5=datedépart,'detail bilan HT'!K74,IF('detail bilan HT'!$J$5=datedépart,'detail bilan HT'!L74))))</f>
        <v>0</v>
      </c>
      <c r="I19" s="10">
        <f>'detail bilan HT'!V74-SUM(D19:H19)</f>
        <v>220</v>
      </c>
      <c r="J19"/>
      <c r="K19" s="10">
        <f t="shared" si="2"/>
        <v>674</v>
      </c>
      <c r="L19" s="4"/>
      <c r="M19" s="4"/>
      <c r="N19" s="4"/>
      <c r="O19" s="4"/>
      <c r="P19" s="4"/>
      <c r="Q19" s="4"/>
      <c r="R19" s="4"/>
      <c r="S19" s="4"/>
      <c r="T19" s="4"/>
    </row>
    <row r="20" spans="1:20" s="5" customFormat="1" ht="12.95" customHeight="1">
      <c r="A20" s="11"/>
      <c r="B20" s="12" t="str">
        <f>'bilan HT'!B20</f>
        <v>Espaces verts</v>
      </c>
      <c r="C20" s="12"/>
      <c r="D20" s="10">
        <f>'detail bilan HT'!D85</f>
        <v>457</v>
      </c>
      <c r="E20" s="10">
        <f>SUM('detail bilan HT'!E85:F85,IF('detail bilan HT'!$G$5&lt;datedépart,'detail bilan HT'!G85,0),IF('detail bilan HT'!$H$5&lt;datedépart,'detail bilan HT'!H85,0),IF('detail bilan HT'!$I$5&lt;datedépart,'detail bilan HT'!I85,0))</f>
        <v>45</v>
      </c>
      <c r="F20" s="10">
        <f>IF(OR('detail bilan HT'!$G$5=datedépart,'detail bilan HT'!$G$5&gt;datedépart),'detail bilan HT'!G85,IF('detail bilan HT'!$H$5=datedépart,'detail bilan HT'!H85,IF('detail bilan HT'!$I$5=datedépart,'detail bilan HT'!I85,IF('detail bilan HT'!$J$5=datedépart,'detail bilan HT'!J85))))</f>
        <v>2</v>
      </c>
      <c r="G20" s="10">
        <f>IF(OR('detail bilan HT'!$G$5=datedépart,'detail bilan HT'!$G$5&gt;datedépart),'detail bilan HT'!H85,IF('detail bilan HT'!$H$5=datedépart,'detail bilan HT'!I85,IF('detail bilan HT'!$I$5=datedépart,'detail bilan HT'!J85,IF('detail bilan HT'!$J$5=datedépart,'detail bilan HT'!K85))))</f>
        <v>2</v>
      </c>
      <c r="H20" s="10">
        <f>IF(OR('detail bilan HT'!$G$5=datedépart,'detail bilan HT'!$G$5&gt;datedépart),'detail bilan HT'!I85,IF('detail bilan HT'!$H$5=datedépart,'detail bilan HT'!J85,IF('detail bilan HT'!$I$5=datedépart,'detail bilan HT'!K85,IF('detail bilan HT'!$J$5=datedépart,'detail bilan HT'!L85))))</f>
        <v>1</v>
      </c>
      <c r="I20" s="10">
        <f>'detail bilan HT'!V85-SUM(D20:H20)</f>
        <v>0</v>
      </c>
      <c r="J20"/>
      <c r="K20" s="10">
        <f t="shared" si="2"/>
        <v>507</v>
      </c>
      <c r="L20" s="4"/>
      <c r="M20" s="4"/>
      <c r="N20" s="4"/>
      <c r="O20" s="4"/>
      <c r="P20" s="4"/>
      <c r="Q20" s="4"/>
      <c r="R20" s="4"/>
      <c r="S20" s="4"/>
      <c r="T20" s="4"/>
    </row>
    <row r="21" spans="1:20" s="5" customFormat="1" ht="12.95" customHeight="1">
      <c r="A21" s="11"/>
      <c r="B21" s="12" t="str">
        <f>'bilan HT'!B21</f>
        <v>Maîtrise d'œuvre/SPS</v>
      </c>
      <c r="C21" s="12"/>
      <c r="D21" s="10">
        <f>'detail bilan HT'!D92</f>
        <v>161</v>
      </c>
      <c r="E21" s="10">
        <f>SUM('detail bilan HT'!E92:F92,IF('detail bilan HT'!$G$5&lt;datedépart,'detail bilan HT'!G92,0),IF('detail bilan HT'!$H$5&lt;datedépart,'detail bilan HT'!H92,0),IF('detail bilan HT'!$I$5&lt;datedépart,'detail bilan HT'!I92,0))</f>
        <v>11</v>
      </c>
      <c r="F21" s="10">
        <f>IF(OR('detail bilan HT'!$G$5=datedépart,'detail bilan HT'!$G$5&gt;datedépart),'detail bilan HT'!G92,IF('detail bilan HT'!$H$5=datedépart,'detail bilan HT'!H92,IF('detail bilan HT'!$I$5=datedépart,'detail bilan HT'!I92,IF('detail bilan HT'!$J$5=datedépart,'detail bilan HT'!J92))))</f>
        <v>0</v>
      </c>
      <c r="G21" s="10">
        <f>IF(OR('detail bilan HT'!$G$5=datedépart,'detail bilan HT'!$G$5&gt;datedépart),'detail bilan HT'!H92,IF('detail bilan HT'!$H$5=datedépart,'detail bilan HT'!I92,IF('detail bilan HT'!$I$5=datedépart,'detail bilan HT'!J92,IF('detail bilan HT'!$J$5=datedépart,'detail bilan HT'!K92))))</f>
        <v>0</v>
      </c>
      <c r="H21" s="10">
        <f>IF(OR('detail bilan HT'!$G$5=datedépart,'detail bilan HT'!$G$5&gt;datedépart),'detail bilan HT'!I92,IF('detail bilan HT'!$H$5=datedépart,'detail bilan HT'!J92,IF('detail bilan HT'!$I$5=datedépart,'detail bilan HT'!K92,IF('detail bilan HT'!$J$5=datedépart,'detail bilan HT'!L92))))</f>
        <v>63</v>
      </c>
      <c r="I21" s="10">
        <f>'detail bilan HT'!V92-SUM(D21:H21)</f>
        <v>0</v>
      </c>
      <c r="J21"/>
      <c r="K21" s="10">
        <f t="shared" si="2"/>
        <v>235</v>
      </c>
      <c r="L21" s="4"/>
      <c r="M21" s="4"/>
      <c r="N21" s="4"/>
      <c r="O21" s="4"/>
      <c r="P21" s="4"/>
      <c r="Q21" s="4"/>
      <c r="R21" s="4"/>
      <c r="S21" s="4"/>
      <c r="T21" s="4"/>
    </row>
    <row r="22" spans="1:20" s="5" customFormat="1" ht="12.95" customHeight="1">
      <c r="A22" s="11"/>
      <c r="B22" s="12" t="str">
        <f>'bilan HT'!B22</f>
        <v>Divers &amp; imprévus</v>
      </c>
      <c r="C22" s="12"/>
      <c r="D22" s="10">
        <f>'detail bilan HT'!D99</f>
        <v>0</v>
      </c>
      <c r="E22" s="10">
        <f>SUM('detail bilan HT'!E99:F99,IF('detail bilan HT'!$G$5&lt;datedépart,'detail bilan HT'!G99,0),IF('detail bilan HT'!$H$5&lt;datedépart,'detail bilan HT'!H99,0),IF('detail bilan HT'!$I$5&lt;datedépart,'detail bilan HT'!I99,0))</f>
        <v>100</v>
      </c>
      <c r="F22" s="10">
        <f>IF(OR('detail bilan HT'!$G$5=datedépart,'detail bilan HT'!$G$5&gt;datedépart),'detail bilan HT'!G99,IF('detail bilan HT'!$H$5=datedépart,'detail bilan HT'!H99,IF('detail bilan HT'!$I$5=datedépart,'detail bilan HT'!I99,IF('detail bilan HT'!$J$5=datedépart,'detail bilan HT'!J99))))</f>
        <v>0</v>
      </c>
      <c r="G22" s="10">
        <f>IF(OR('detail bilan HT'!$G$5=datedépart,'detail bilan HT'!$G$5&gt;datedépart),'detail bilan HT'!H99,IF('detail bilan HT'!$H$5=datedépart,'detail bilan HT'!I99,IF('detail bilan HT'!$I$5=datedépart,'detail bilan HT'!J99,IF('detail bilan HT'!$J$5=datedépart,'detail bilan HT'!K99))))</f>
        <v>0</v>
      </c>
      <c r="H22" s="10">
        <f>IF(OR('detail bilan HT'!$G$5=datedépart,'detail bilan HT'!$G$5&gt;datedépart),'detail bilan HT'!I99,IF('detail bilan HT'!$H$5=datedépart,'detail bilan HT'!J99,IF('detail bilan HT'!$I$5=datedépart,'detail bilan HT'!K99,IF('detail bilan HT'!$J$5=datedépart,'detail bilan HT'!L99))))</f>
        <v>104</v>
      </c>
      <c r="I22" s="10">
        <f>'detail bilan HT'!V99-SUM(D22:H22)</f>
        <v>167</v>
      </c>
      <c r="J22"/>
      <c r="K22" s="10">
        <f t="shared" si="2"/>
        <v>371</v>
      </c>
      <c r="L22" s="4"/>
      <c r="M22" s="4"/>
      <c r="N22" s="4"/>
      <c r="O22" s="4"/>
      <c r="P22" s="4"/>
      <c r="Q22" s="4"/>
      <c r="R22" s="4"/>
      <c r="S22" s="4"/>
      <c r="T22" s="4"/>
    </row>
    <row r="23" spans="1:20" s="5" customFormat="1" ht="12.95" customHeight="1">
      <c r="A23" s="18"/>
      <c r="B23"/>
      <c r="C23" s="13" t="s">
        <v>27</v>
      </c>
      <c r="D23" s="14">
        <f t="shared" ref="D23:K23" si="3">SUM(D15:D22)</f>
        <v>2753</v>
      </c>
      <c r="E23" s="14">
        <f t="shared" si="3"/>
        <v>156</v>
      </c>
      <c r="F23" s="14">
        <f t="shared" si="3"/>
        <v>2</v>
      </c>
      <c r="G23" s="14">
        <f t="shared" si="3"/>
        <v>2</v>
      </c>
      <c r="H23" s="14">
        <f t="shared" si="3"/>
        <v>168</v>
      </c>
      <c r="I23" s="14">
        <f t="shared" si="3"/>
        <v>1587</v>
      </c>
      <c r="J23"/>
      <c r="K23" s="14">
        <f t="shared" si="3"/>
        <v>4668</v>
      </c>
      <c r="L23" s="4"/>
      <c r="M23" s="4"/>
      <c r="N23" s="4"/>
      <c r="O23" s="4"/>
      <c r="P23" s="4"/>
      <c r="Q23" s="4"/>
      <c r="R23" s="4"/>
      <c r="S23" s="4"/>
      <c r="T23" s="4"/>
    </row>
    <row r="24" spans="1:20" s="5" customFormat="1" ht="12.95" customHeight="1">
      <c r="A24" s="7" t="str">
        <f>'bilan HT'!A24</f>
        <v>4/FRAIS FINANCIERS</v>
      </c>
      <c r="B24" s="8"/>
      <c r="C24" s="8"/>
      <c r="D24" s="20"/>
      <c r="E24" s="20"/>
      <c r="F24" s="20"/>
      <c r="G24" s="20"/>
      <c r="H24" s="20"/>
      <c r="I24" s="20"/>
      <c r="J24"/>
      <c r="K24" s="20"/>
      <c r="L24" s="4"/>
      <c r="M24" s="4"/>
      <c r="N24" s="4"/>
      <c r="O24" s="4"/>
      <c r="P24" s="4"/>
      <c r="Q24" s="4"/>
      <c r="R24" s="4"/>
      <c r="S24" s="4"/>
      <c r="T24" s="4"/>
    </row>
    <row r="25" spans="1:20" s="5" customFormat="1" ht="12.95" customHeight="1">
      <c r="A25" s="11"/>
      <c r="B25" s="12" t="str">
        <f>'bilan HT'!B25</f>
        <v>Sur emprunts</v>
      </c>
      <c r="C25" s="12"/>
      <c r="D25" s="10">
        <f>'detail bilan HT'!D111</f>
        <v>0</v>
      </c>
      <c r="E25" s="10">
        <f>SUM('detail bilan HT'!E111:F111,IF('detail bilan HT'!$G$5&lt;datedépart,'detail bilan HT'!G111,0),IF('detail bilan HT'!$H$5&lt;datedépart,'detail bilan HT'!H111,0),IF('detail bilan HT'!$I$5&lt;datedépart,'detail bilan HT'!I111,0))</f>
        <v>0</v>
      </c>
      <c r="F25" s="10">
        <f>IF(OR('detail bilan HT'!$G$5=datedépart,'detail bilan HT'!$G$5&gt;datedépart),'detail bilan HT'!G111,IF('detail bilan HT'!$H$5=datedépart,'detail bilan HT'!H111,IF('detail bilan HT'!$I$5=datedépart,'detail bilan HT'!I111,IF('detail bilan HT'!$J$5=datedépart,'detail bilan HT'!J111))))</f>
        <v>0</v>
      </c>
      <c r="G25" s="10">
        <f>IF(OR('detail bilan HT'!$G$5=datedépart,'detail bilan HT'!$G$5&gt;datedépart),'detail bilan HT'!H111,IF('detail bilan HT'!$H$5=datedépart,'detail bilan HT'!I111,IF('detail bilan HT'!$I$5=datedépart,'detail bilan HT'!J111,IF('detail bilan HT'!$J$5=datedépart,'detail bilan HT'!K111))))</f>
        <v>0</v>
      </c>
      <c r="H25" s="10">
        <f>IF(OR('detail bilan HT'!$G$5=datedépart,'detail bilan HT'!$G$5&gt;datedépart),'detail bilan HT'!I111,IF('detail bilan HT'!$H$5=datedépart,'detail bilan HT'!J111,IF('detail bilan HT'!$I$5=datedépart,'detail bilan HT'!K111,IF('detail bilan HT'!$J$5=datedépart,'detail bilan HT'!L111))))</f>
        <v>0</v>
      </c>
      <c r="I25" s="10">
        <f>'detail bilan HT'!V111-SUM(D25:H25)</f>
        <v>0</v>
      </c>
      <c r="J25"/>
      <c r="K25" s="10">
        <f>SUM(D25:J25)</f>
        <v>0</v>
      </c>
      <c r="L25" s="4"/>
      <c r="M25" s="4"/>
      <c r="N25" s="4"/>
      <c r="O25" s="4"/>
      <c r="P25" s="4"/>
      <c r="Q25" s="4"/>
      <c r="R25" s="4"/>
      <c r="S25" s="4"/>
      <c r="T25" s="4"/>
    </row>
    <row r="26" spans="1:20" s="5" customFormat="1" ht="12.95" customHeight="1">
      <c r="A26" s="11"/>
      <c r="B26" s="12" t="str">
        <f>'bilan HT'!B26</f>
        <v>Sur court terme</v>
      </c>
      <c r="C26" s="12"/>
      <c r="D26" s="10">
        <f>SUM('detail bilan HT'!D112:D113)</f>
        <v>141</v>
      </c>
      <c r="E26" s="10">
        <f>SUM('detail bilan HT'!E112:F113,IF('detail bilan HT'!$G$5&lt;datedépart,SUM('detail bilan HT'!G112:G113),0),IF('detail bilan HT'!$H$5&lt;datedépart,SUM('detail bilan HT'!H112:H113),0),IF('detail bilan HT'!$I$5&lt;datedépart,SUM('detail bilan HT'!I112:I113),0))</f>
        <v>156</v>
      </c>
      <c r="F26" s="10">
        <f>IF(OR('detail bilan HT'!$G$5=datedépart,'detail bilan HT'!$G$5&gt;datedépart),SUM('detail bilan HT'!G112:G113),IF('detail bilan HT'!$H$5=datedépart,SUM('detail bilan HT'!H112:H113),IF('detail bilan HT'!$I$5=datedépart,SUM('detail bilan HT'!I112:I113),IF('detail bilan HT'!$J$5=datedépart,SUM('detail bilan HT'!J112:J113)))))</f>
        <v>120</v>
      </c>
      <c r="G26" s="10">
        <f>IF(OR('detail bilan HT'!$G$5=datedépart,'detail bilan HT'!$G$5&gt;datedépart),SUM('detail bilan HT'!H112:H113),IF('detail bilan HT'!$H$5=datedépart,SUM('detail bilan HT'!I112:I113),IF('detail bilan HT'!$I$5=datedépart,SUM('detail bilan HT'!J112:J113),IF('detail bilan HT'!$J$5=datedépart,SUM('detail bilan HT'!K112:K113)))))</f>
        <v>89</v>
      </c>
      <c r="H26" s="10">
        <f>IF(OR('detail bilan HT'!$G$5=datedépart,'detail bilan HT'!$G$5&gt;datedépart),SUM('detail bilan HT'!I112:I113),IF('detail bilan HT'!$H$5=datedépart,SUM('detail bilan HT'!J112:J113),IF('detail bilan HT'!$I$5=datedépart,SUM('detail bilan HT'!K112:K113),IF('detail bilan HT'!$J$5=datedépart,SUM('detail bilan HT'!L112:L113)))))</f>
        <v>64</v>
      </c>
      <c r="I26" s="10">
        <f>SUM('detail bilan HT'!V112:V113)-SUM(D26:H26)</f>
        <v>87</v>
      </c>
      <c r="J26"/>
      <c r="K26" s="10">
        <f>SUM(D26:J26)</f>
        <v>657</v>
      </c>
      <c r="L26" s="4"/>
      <c r="M26" s="4"/>
      <c r="N26" s="4"/>
      <c r="O26" s="4"/>
      <c r="P26" s="4"/>
      <c r="Q26" s="4"/>
      <c r="R26" s="4"/>
      <c r="S26" s="4"/>
      <c r="T26" s="4"/>
    </row>
    <row r="27" spans="1:20" s="5" customFormat="1" ht="12.95" customHeight="1">
      <c r="A27" s="18"/>
      <c r="B27"/>
      <c r="C27" s="13" t="s">
        <v>32</v>
      </c>
      <c r="D27" s="14">
        <f>SUM(D25:D26)</f>
        <v>141</v>
      </c>
      <c r="E27" s="14">
        <f t="shared" ref="E27:K27" si="4">SUM(E25:E26)</f>
        <v>156</v>
      </c>
      <c r="F27" s="14">
        <f t="shared" si="4"/>
        <v>120</v>
      </c>
      <c r="G27" s="14">
        <f t="shared" si="4"/>
        <v>89</v>
      </c>
      <c r="H27" s="14">
        <f t="shared" si="4"/>
        <v>64</v>
      </c>
      <c r="I27" s="14">
        <f t="shared" si="4"/>
        <v>87</v>
      </c>
      <c r="J27"/>
      <c r="K27" s="14">
        <f t="shared" si="4"/>
        <v>657</v>
      </c>
      <c r="L27" s="4"/>
      <c r="M27" s="4"/>
      <c r="N27" s="4"/>
      <c r="O27" s="4"/>
      <c r="P27" s="4"/>
      <c r="Q27" s="4"/>
      <c r="R27" s="4"/>
      <c r="S27" s="4"/>
      <c r="T27" s="4"/>
    </row>
    <row r="28" spans="1:20" s="5" customFormat="1" ht="12.95" customHeight="1">
      <c r="A28" s="7" t="str">
        <f>'bilan HT'!A28</f>
        <v>5/FRAIS DE SOCIETE</v>
      </c>
      <c r="B28" s="8"/>
      <c r="C28" s="8"/>
      <c r="D28" s="10"/>
      <c r="E28" s="10"/>
      <c r="F28" s="10"/>
      <c r="G28" s="10"/>
      <c r="H28" s="10"/>
      <c r="I28" s="10"/>
      <c r="J28"/>
      <c r="K28" s="10"/>
      <c r="L28" s="4"/>
      <c r="M28" s="4"/>
      <c r="N28" s="4"/>
      <c r="O28" s="4"/>
      <c r="P28" s="4"/>
      <c r="Q28" s="4"/>
      <c r="R28" s="4"/>
      <c r="S28" s="4"/>
      <c r="T28" s="4"/>
    </row>
    <row r="29" spans="1:20" s="5" customFormat="1" ht="12.95" customHeight="1">
      <c r="A29" s="11"/>
      <c r="B29" s="12" t="str">
        <f>'bilan HT'!B29</f>
        <v>Gestion</v>
      </c>
      <c r="C29" s="12"/>
      <c r="D29" s="10">
        <f>'detail bilan HT'!D127</f>
        <v>200</v>
      </c>
      <c r="E29" s="10">
        <f>SUM('detail bilan HT'!E127:F127,IF('detail bilan HT'!$G$5&lt;datedépart,'detail bilan HT'!G127,0),IF('detail bilan HT'!$H$5&lt;datedépart,'detail bilan HT'!H127,0),IF('detail bilan HT'!$I$5&lt;datedépart,'detail bilan HT'!I127,0))</f>
        <v>18</v>
      </c>
      <c r="F29" s="10">
        <f>IF(OR('detail bilan HT'!$G$5=datedépart,'detail bilan HT'!$G$5&gt;datedépart),'detail bilan HT'!G127,IF('detail bilan HT'!$H$5=datedépart,'detail bilan HT'!H127,IF('detail bilan HT'!$I$5=datedépart,'detail bilan HT'!I127,IF('detail bilan HT'!$J$5=datedépart,'detail bilan HT'!J127))))</f>
        <v>8</v>
      </c>
      <c r="G29" s="10">
        <f>IF(OR('detail bilan HT'!$G$5=datedépart,'detail bilan HT'!$G$5&gt;datedépart),'detail bilan HT'!H127,IF('detail bilan HT'!$H$5=datedépart,'detail bilan HT'!I127,IF('detail bilan HT'!$I$5=datedépart,'detail bilan HT'!J127,IF('detail bilan HT'!$J$5=datedépart,'detail bilan HT'!K127))))</f>
        <v>7</v>
      </c>
      <c r="H29" s="10">
        <f>IF(OR('detail bilan HT'!$G$5=datedépart,'detail bilan HT'!$G$5&gt;datedépart),'detail bilan HT'!I127,IF('detail bilan HT'!$H$5=datedépart,'detail bilan HT'!J127,IF('detail bilan HT'!$I$5=datedépart,'detail bilan HT'!K127,IF('detail bilan HT'!$J$5=datedépart,'detail bilan HT'!L127))))</f>
        <v>12</v>
      </c>
      <c r="I29" s="10">
        <f>'detail bilan HT'!V127-SUM(D29:H29)</f>
        <v>122</v>
      </c>
      <c r="J29"/>
      <c r="K29" s="10">
        <f>SUM(D29:J29)</f>
        <v>367</v>
      </c>
      <c r="L29" s="4"/>
      <c r="M29" s="4"/>
      <c r="N29" s="4"/>
      <c r="O29" s="4"/>
      <c r="P29" s="4"/>
      <c r="Q29" s="4"/>
      <c r="R29" s="4"/>
      <c r="S29" s="4"/>
      <c r="T29" s="4"/>
    </row>
    <row r="30" spans="1:20" s="5" customFormat="1" ht="12.95" customHeight="1">
      <c r="A30" s="11"/>
      <c r="B30" s="12" t="str">
        <f>'bilan HT'!B30</f>
        <v>Commercialisation</v>
      </c>
      <c r="C30" s="12"/>
      <c r="D30" s="10">
        <f>'detail bilan HT'!D134</f>
        <v>0</v>
      </c>
      <c r="E30" s="10">
        <f>SUM('detail bilan HT'!E134:F134,IF('detail bilan HT'!$G$5&lt;datedépart,'detail bilan HT'!G134,0),IF('detail bilan HT'!$H$5&lt;datedépart,'detail bilan HT'!H134,0),IF('detail bilan HT'!$I$5&lt;datedépart,'detail bilan HT'!I134,0))</f>
        <v>0</v>
      </c>
      <c r="F30" s="10">
        <f>IF(OR('detail bilan HT'!$G$5=datedépart,'detail bilan HT'!$G$5&gt;datedépart),'detail bilan HT'!G134,IF('detail bilan HT'!$H$5=datedépart,'detail bilan HT'!H134,IF('detail bilan HT'!$I$5=datedépart,'detail bilan HT'!I134,IF('detail bilan HT'!$J$5=datedépart,'detail bilan HT'!J134))))</f>
        <v>40</v>
      </c>
      <c r="G30" s="10">
        <f>IF(OR('detail bilan HT'!$G$5=datedépart,'detail bilan HT'!$G$5&gt;datedépart),'detail bilan HT'!H134,IF('detail bilan HT'!$H$5=datedépart,'detail bilan HT'!I134,IF('detail bilan HT'!$I$5=datedépart,'detail bilan HT'!J134,IF('detail bilan HT'!$J$5=datedépart,'detail bilan HT'!K134))))</f>
        <v>40</v>
      </c>
      <c r="H30" s="10">
        <f>IF(OR('detail bilan HT'!$G$5=datedépart,'detail bilan HT'!$G$5&gt;datedépart),'detail bilan HT'!I134,IF('detail bilan HT'!$H$5=datedépart,'detail bilan HT'!J134,IF('detail bilan HT'!$I$5=datedépart,'detail bilan HT'!K134,IF('detail bilan HT'!$J$5=datedépart,'detail bilan HT'!L134))))</f>
        <v>40</v>
      </c>
      <c r="I30" s="10">
        <f>'detail bilan HT'!V134-SUM(D30:H30)</f>
        <v>280</v>
      </c>
      <c r="J30"/>
      <c r="K30" s="10">
        <f>SUM(D30:J30)</f>
        <v>400</v>
      </c>
      <c r="L30" s="4"/>
      <c r="M30" s="4"/>
      <c r="N30" s="4"/>
      <c r="O30" s="4"/>
      <c r="P30" s="4"/>
      <c r="Q30" s="4"/>
      <c r="R30" s="4"/>
      <c r="S30" s="4"/>
      <c r="T30" s="4"/>
    </row>
    <row r="31" spans="1:20" s="5" customFormat="1" ht="12.95" customHeight="1">
      <c r="A31" s="18"/>
      <c r="B31"/>
      <c r="C31" s="13" t="s">
        <v>40</v>
      </c>
      <c r="D31" s="14">
        <f t="shared" ref="D31:I31" si="5">SUM(D29:D30)</f>
        <v>200</v>
      </c>
      <c r="E31" s="14">
        <f t="shared" si="5"/>
        <v>18</v>
      </c>
      <c r="F31" s="14">
        <f t="shared" si="5"/>
        <v>48</v>
      </c>
      <c r="G31" s="14">
        <f t="shared" si="5"/>
        <v>47</v>
      </c>
      <c r="H31" s="14">
        <f t="shared" si="5"/>
        <v>52</v>
      </c>
      <c r="I31" s="14">
        <f t="shared" si="5"/>
        <v>402</v>
      </c>
      <c r="J31"/>
      <c r="K31" s="14">
        <f>SUM(K29:K30)</f>
        <v>767</v>
      </c>
      <c r="L31" s="4"/>
      <c r="M31" s="4"/>
      <c r="N31" s="4"/>
      <c r="O31" s="4"/>
      <c r="P31" s="4"/>
      <c r="Q31" s="4"/>
      <c r="R31" s="4"/>
      <c r="S31" s="4"/>
      <c r="T31" s="4"/>
    </row>
    <row r="32" spans="1:20" ht="12.95" customHeight="1">
      <c r="A32" s="7" t="str">
        <f>'bilan HT'!A32</f>
        <v>6/AUTRES FRAIS</v>
      </c>
      <c r="B32" s="8"/>
      <c r="C32" s="8"/>
      <c r="D32" s="10"/>
      <c r="E32" s="10"/>
      <c r="F32" s="10"/>
      <c r="G32" s="10"/>
      <c r="H32" s="10"/>
      <c r="I32" s="10"/>
      <c r="K32" s="10"/>
    </row>
    <row r="33" spans="1:11" ht="12.95" customHeight="1">
      <c r="A33" s="11"/>
      <c r="B33" s="30" t="str">
        <f>'bilan HT'!B33</f>
        <v>Panneau publicitaire</v>
      </c>
      <c r="C33" s="12"/>
      <c r="D33" s="10">
        <f>IF(B33="","",'detail bilan HT'!D137)</f>
        <v>5</v>
      </c>
      <c r="E33" s="10">
        <f>IF(B33="","",SUM('detail bilan HT'!E137:F137,IF('detail bilan HT'!$G$5&lt;datedépart,'detail bilan HT'!G137,0),IF('detail bilan HT'!$H$5&lt;datedépart,'detail bilan HT'!H137,0),IF('detail bilan HT'!$I$5&lt;datedépart,'detail bilan HT'!I137,0)))</f>
        <v>0</v>
      </c>
      <c r="F33" s="10">
        <f>IF(B33="","",IF(OR('detail bilan HT'!$G$5=datedépart,'detail bilan HT'!$G$5&gt;datedépart),'detail bilan HT'!G137,IF('detail bilan HT'!$H$5=datedépart,'detail bilan HT'!H137,IF('detail bilan HT'!$I$5=datedépart,'detail bilan HT'!I137,IF('detail bilan HT'!$J$5=datedépart,'detail bilan HT'!J137)))))</f>
        <v>0</v>
      </c>
      <c r="G33" s="10">
        <f>IF(B33="","",IF(OR('detail bilan HT'!$G$5=datedépart,'detail bilan HT'!$G$5&gt;datedépart),'detail bilan HT'!H137,IF('detail bilan HT'!$H$5=datedépart,'detail bilan HT'!I137,IF('detail bilan HT'!$I$5=datedépart,'detail bilan HT'!J137,IF('detail bilan HT'!$J$5=datedépart,'detail bilan HT'!K137)))))</f>
        <v>0</v>
      </c>
      <c r="H33" s="10">
        <f>IF(B33="","",IF(OR('detail bilan HT'!$G$5=datedépart,'detail bilan HT'!$G$5&gt;datedépart),'detail bilan HT'!I137,IF('detail bilan HT'!$H$5=datedépart,'detail bilan HT'!J137,IF('detail bilan HT'!$I$5=datedépart,'detail bilan HT'!K137,IF('detail bilan HT'!$J$5=datedépart,'detail bilan HT'!L137)))))</f>
        <v>0</v>
      </c>
      <c r="I33" s="10">
        <f>IF(B33="","",'detail bilan HT'!V137-SUM(D33:H33))</f>
        <v>0</v>
      </c>
      <c r="K33" s="10">
        <f>IF(B33="","",SUM(D33:J33))</f>
        <v>5</v>
      </c>
    </row>
    <row r="34" spans="1:11" ht="12.95" customHeight="1">
      <c r="A34" s="11"/>
      <c r="B34" s="30" t="str">
        <f>'bilan HT'!B34</f>
        <v/>
      </c>
      <c r="C34" s="12"/>
      <c r="D34" s="10" t="str">
        <f>IF(B34="","",'detail bilan HT'!D138)</f>
        <v/>
      </c>
      <c r="E34" s="10" t="str">
        <f>IF(B34="","",SUM('detail bilan HT'!E138:F138,IF('detail bilan HT'!$G$5&lt;datedépart,'detail bilan HT'!G138,0),IF('detail bilan HT'!$H$5&lt;datedépart,'detail bilan HT'!H138,0),IF('detail bilan HT'!$I$5&lt;datedépart,'detail bilan HT'!I138,0)))</f>
        <v/>
      </c>
      <c r="F34" s="10" t="str">
        <f>IF(B34="","",IF(OR('detail bilan HT'!$G$5=datedépart,'detail bilan HT'!$G$5&gt;datedépart),'detail bilan HT'!G138,IF('detail bilan HT'!$H$5=datedépart,'detail bilan HT'!H138,IF('detail bilan HT'!$I$5=datedépart,'detail bilan HT'!I138,IF('detail bilan HT'!$J$5=datedépart,'detail bilan HT'!J138)))))</f>
        <v/>
      </c>
      <c r="G34" s="10" t="str">
        <f>IF(B34="","",IF(OR('detail bilan HT'!$G$5=datedépart,'detail bilan HT'!$G$5&gt;datedépart),'detail bilan HT'!H138,IF('detail bilan HT'!$H$5=datedépart,'detail bilan HT'!I138,IF('detail bilan HT'!$I$5=datedépart,'detail bilan HT'!J138,IF('detail bilan HT'!$J$5=datedépart,'detail bilan HT'!K138)))))</f>
        <v/>
      </c>
      <c r="H34" s="10" t="str">
        <f>IF(B34="","",IF(OR('detail bilan HT'!$G$5=datedépart,'detail bilan HT'!$G$5&gt;datedépart),'detail bilan HT'!I138,IF('detail bilan HT'!$H$5=datedépart,'detail bilan HT'!J138,IF('detail bilan HT'!$I$5=datedépart,'detail bilan HT'!K138,IF('detail bilan HT'!$J$5=datedépart,'detail bilan HT'!L138)))))</f>
        <v/>
      </c>
      <c r="I34" s="10" t="str">
        <f>IF(B34="","",'detail bilan HT'!V138-SUM(D34:H34))</f>
        <v/>
      </c>
      <c r="K34" s="10" t="str">
        <f>IF(B34="","",SUM(D34:J34))</f>
        <v/>
      </c>
    </row>
    <row r="35" spans="1:11" ht="12.95" customHeight="1">
      <c r="A35" s="11"/>
      <c r="B35" s="30" t="str">
        <f>'bilan HT'!B35</f>
        <v/>
      </c>
      <c r="C35" s="12"/>
      <c r="D35" s="10" t="str">
        <f>IF(B35="","",'detail bilan HT'!D139)</f>
        <v/>
      </c>
      <c r="E35" s="10" t="str">
        <f>IF(B35="","",SUM('detail bilan HT'!E139:F139,IF('detail bilan HT'!$G$5&lt;datedépart,'detail bilan HT'!G139,0),IF('detail bilan HT'!$H$5&lt;datedépart,'detail bilan HT'!H139,0),IF('detail bilan HT'!$I$5&lt;datedépart,'detail bilan HT'!I139,0)))</f>
        <v/>
      </c>
      <c r="F35" s="10" t="str">
        <f>IF(B35="","",IF(OR('detail bilan HT'!$G$5=datedépart,'detail bilan HT'!$G$5&gt;datedépart),'detail bilan HT'!G139,IF('detail bilan HT'!$H$5=datedépart,'detail bilan HT'!H139,IF('detail bilan HT'!$I$5=datedépart,'detail bilan HT'!I139,IF('detail bilan HT'!$J$5=datedépart,'detail bilan HT'!J139)))))</f>
        <v/>
      </c>
      <c r="G35" s="10" t="str">
        <f>IF(B35="","",IF(OR('detail bilan HT'!$G$5=datedépart,'detail bilan HT'!$G$5&gt;datedépart),'detail bilan HT'!H139,IF('detail bilan HT'!$H$5=datedépart,'detail bilan HT'!I139,IF('detail bilan HT'!$I$5=datedépart,'detail bilan HT'!J139,IF('detail bilan HT'!$J$5=datedépart,'detail bilan HT'!K139)))))</f>
        <v/>
      </c>
      <c r="H35" s="10" t="str">
        <f>IF(B35="","",IF(OR('detail bilan HT'!$G$5=datedépart,'detail bilan HT'!$G$5&gt;datedépart),'detail bilan HT'!I139,IF('detail bilan HT'!$H$5=datedépart,'detail bilan HT'!J139,IF('detail bilan HT'!$I$5=datedépart,'detail bilan HT'!K139,IF('detail bilan HT'!$J$5=datedépart,'detail bilan HT'!L139)))))</f>
        <v/>
      </c>
      <c r="I35" s="10" t="str">
        <f>IF(B35="","",'detail bilan HT'!V139-SUM(D35:H35))</f>
        <v/>
      </c>
      <c r="K35" s="10" t="str">
        <f>IF(B35="","",SUM(D35:J35))</f>
        <v/>
      </c>
    </row>
    <row r="36" spans="1:11" ht="12.95" customHeight="1">
      <c r="A36" s="11"/>
      <c r="B36" s="30" t="str">
        <f>'bilan HT'!B36</f>
        <v/>
      </c>
      <c r="C36" s="12"/>
      <c r="D36" s="10" t="str">
        <f>IF(B36="","",'detail bilan HT'!D140)</f>
        <v/>
      </c>
      <c r="E36" s="10" t="str">
        <f>IF(B36="","",SUM('detail bilan HT'!E140:F140,IF('detail bilan HT'!$G$5&lt;datedépart,'detail bilan HT'!G140,0),IF('detail bilan HT'!$H$5&lt;datedépart,'detail bilan HT'!H140,0),IF('detail bilan HT'!$I$5&lt;datedépart,'detail bilan HT'!I140,0)))</f>
        <v/>
      </c>
      <c r="F36" s="10" t="str">
        <f>IF(B36="","",IF(OR('detail bilan HT'!$G$5=datedépart,'detail bilan HT'!$G$5&gt;datedépart),'detail bilan HT'!G140,IF('detail bilan HT'!$H$5=datedépart,'detail bilan HT'!H140,IF('detail bilan HT'!$I$5=datedépart,'detail bilan HT'!I140,IF('detail bilan HT'!$J$5=datedépart,'detail bilan HT'!J140)))))</f>
        <v/>
      </c>
      <c r="G36" s="10" t="str">
        <f>IF(B36="","",IF(OR('detail bilan HT'!$G$5=datedépart,'detail bilan HT'!$G$5&gt;datedépart),'detail bilan HT'!H140,IF('detail bilan HT'!$H$5=datedépart,'detail bilan HT'!I140,IF('detail bilan HT'!$I$5=datedépart,'detail bilan HT'!J140,IF('detail bilan HT'!$J$5=datedépart,'detail bilan HT'!K140)))))</f>
        <v/>
      </c>
      <c r="H36" s="10" t="str">
        <f>IF(B36="","",IF(OR('detail bilan HT'!$G$5=datedépart,'detail bilan HT'!$G$5&gt;datedépart),'detail bilan HT'!I140,IF('detail bilan HT'!$H$5=datedépart,'detail bilan HT'!J140,IF('detail bilan HT'!$I$5=datedépart,'detail bilan HT'!K140,IF('detail bilan HT'!$J$5=datedépart,'detail bilan HT'!L140)))))</f>
        <v/>
      </c>
      <c r="I36" s="10" t="str">
        <f>IF(B36="","",'detail bilan HT'!V140-SUM(D36:H36))</f>
        <v/>
      </c>
      <c r="K36" s="10" t="str">
        <f>IF(B36="","",SUM(D36:J36))</f>
        <v/>
      </c>
    </row>
    <row r="37" spans="1:11" ht="12.95" customHeight="1">
      <c r="A37" s="11"/>
      <c r="B37" s="30" t="str">
        <f>'bilan HT'!B37</f>
        <v/>
      </c>
      <c r="C37" s="12"/>
      <c r="D37" s="10" t="str">
        <f>IF(B37="","",'detail bilan HT'!D141)</f>
        <v/>
      </c>
      <c r="E37" s="10" t="str">
        <f>IF(B37="","",SUM('detail bilan HT'!E141:F141,IF('detail bilan HT'!$G$5&lt;datedépart,'detail bilan HT'!G141,0),IF('detail bilan HT'!$H$5&lt;datedépart,'detail bilan HT'!H141,0),IF('detail bilan HT'!$I$5&lt;datedépart,'detail bilan HT'!I141,0)))</f>
        <v/>
      </c>
      <c r="F37" s="10" t="str">
        <f>IF(B37="","",IF(OR('detail bilan HT'!$G$5=datedépart,'detail bilan HT'!$G$5&gt;datedépart),'detail bilan HT'!G141,IF('detail bilan HT'!$H$5=datedépart,'detail bilan HT'!H141,IF('detail bilan HT'!$I$5=datedépart,'detail bilan HT'!I141,IF('detail bilan HT'!$J$5=datedépart,'detail bilan HT'!J141)))))</f>
        <v/>
      </c>
      <c r="G37" s="10" t="str">
        <f>IF(B37="","",IF(OR('detail bilan HT'!$G$5=datedépart,'detail bilan HT'!$G$5&gt;datedépart),'detail bilan HT'!H141,IF('detail bilan HT'!$H$5=datedépart,'detail bilan HT'!I141,IF('detail bilan HT'!$I$5=datedépart,'detail bilan HT'!J141,IF('detail bilan HT'!$J$5=datedépart,'detail bilan HT'!K141)))))</f>
        <v/>
      </c>
      <c r="H37" s="10" t="str">
        <f>IF(B37="","",IF(OR('detail bilan HT'!$G$5=datedépart,'detail bilan HT'!$G$5&gt;datedépart),'detail bilan HT'!I141,IF('detail bilan HT'!$H$5=datedépart,'detail bilan HT'!J141,IF('detail bilan HT'!$I$5=datedépart,'detail bilan HT'!K141,IF('detail bilan HT'!$J$5=datedépart,'detail bilan HT'!L141)))))</f>
        <v/>
      </c>
      <c r="I37" s="10" t="str">
        <f>IF(B37="","",'detail bilan HT'!V141-SUM(D37:H37))</f>
        <v/>
      </c>
      <c r="K37" s="10" t="str">
        <f>IF(B37="","",SUM(D37:J37))</f>
        <v/>
      </c>
    </row>
    <row r="38" spans="1:11" ht="12.95" customHeight="1">
      <c r="A38" s="18"/>
      <c r="B38"/>
      <c r="C38" s="13" t="s">
        <v>45</v>
      </c>
      <c r="D38" s="14">
        <f t="shared" ref="D38:I38" si="6">SUM(D33:D37)</f>
        <v>5</v>
      </c>
      <c r="E38" s="14">
        <f t="shared" si="6"/>
        <v>0</v>
      </c>
      <c r="F38" s="14">
        <f t="shared" si="6"/>
        <v>0</v>
      </c>
      <c r="G38" s="14">
        <f t="shared" si="6"/>
        <v>0</v>
      </c>
      <c r="H38" s="14">
        <f t="shared" si="6"/>
        <v>0</v>
      </c>
      <c r="I38" s="14">
        <f t="shared" si="6"/>
        <v>0</v>
      </c>
      <c r="K38" s="14">
        <f>SUM(K33:K37)</f>
        <v>5</v>
      </c>
    </row>
    <row r="39" spans="1:11" ht="3" customHeight="1">
      <c r="A39" s="18"/>
      <c r="B39"/>
      <c r="C39" s="13"/>
      <c r="D39" s="203"/>
      <c r="E39" s="203"/>
      <c r="F39" s="203"/>
      <c r="G39" s="203"/>
      <c r="H39" s="203"/>
      <c r="I39" s="203"/>
      <c r="K39" s="203"/>
    </row>
    <row r="40" spans="1:11" s="23" customFormat="1" ht="15" customHeight="1">
      <c r="A40" s="251"/>
      <c r="B40" s="252"/>
      <c r="C40" s="252" t="s">
        <v>125</v>
      </c>
      <c r="D40" s="281">
        <f t="shared" ref="D40:I40" si="7">SUM(D9,D13,D23,D27,D31,D38)</f>
        <v>4342</v>
      </c>
      <c r="E40" s="281">
        <f t="shared" si="7"/>
        <v>379</v>
      </c>
      <c r="F40" s="281">
        <f t="shared" si="7"/>
        <v>227</v>
      </c>
      <c r="G40" s="281">
        <f t="shared" si="7"/>
        <v>192</v>
      </c>
      <c r="H40" s="281">
        <f t="shared" si="7"/>
        <v>284</v>
      </c>
      <c r="I40" s="281">
        <f t="shared" si="7"/>
        <v>2076</v>
      </c>
      <c r="J40"/>
      <c r="K40" s="281">
        <f>SUM(K9,K13,K23,K27,K31,K38)</f>
        <v>7500</v>
      </c>
    </row>
    <row r="41" spans="1:11" customFormat="1" ht="3" customHeight="1"/>
    <row r="42" spans="1:11" s="189" customFormat="1" ht="11.1" customHeight="1">
      <c r="A42" s="282" t="s">
        <v>1</v>
      </c>
      <c r="B42" s="283"/>
      <c r="C42" s="296"/>
      <c r="D42" s="285" t="str">
        <f t="shared" ref="D42:G44" si="8">D3</f>
        <v>Réalisé</v>
      </c>
      <c r="E42" s="271" t="str">
        <f>IF('detail bilan HT'!$F$5&gt;(datedépart-2),"","Prévisions")</f>
        <v/>
      </c>
      <c r="F42" s="285" t="str">
        <f t="shared" si="8"/>
        <v xml:space="preserve"> </v>
      </c>
      <c r="G42" s="285" t="str">
        <f t="shared" si="8"/>
        <v xml:space="preserve"> </v>
      </c>
      <c r="H42" s="285"/>
      <c r="I42" s="285" t="str">
        <f>I3</f>
        <v>Prévisions</v>
      </c>
      <c r="J42"/>
      <c r="K42" s="271" t="str">
        <f>K3</f>
        <v>Présent</v>
      </c>
    </row>
    <row r="43" spans="1:11" s="62" customFormat="1" ht="12.95" customHeight="1">
      <c r="A43" s="257" t="s">
        <v>47</v>
      </c>
      <c r="B43" s="258"/>
      <c r="C43" s="297"/>
      <c r="D43" s="273" t="str">
        <f t="shared" si="8"/>
        <v>au 31/12</v>
      </c>
      <c r="E43" s="290" t="str">
        <f>IF('detail bilan HT'!$F$5&gt;(datedépart-2),"Prévisions",'detail bilan HT'!$F$5)</f>
        <v>Prévisions</v>
      </c>
      <c r="F43" s="273" t="str">
        <f t="shared" si="8"/>
        <v xml:space="preserve">Prévisions </v>
      </c>
      <c r="G43" s="273" t="str">
        <f t="shared" si="8"/>
        <v xml:space="preserve">Prévisions </v>
      </c>
      <c r="H43" s="273" t="str">
        <f>H4</f>
        <v xml:space="preserve">Prévisions </v>
      </c>
      <c r="I43" s="273" t="str">
        <f>I4</f>
        <v>années</v>
      </c>
      <c r="J43"/>
      <c r="K43" s="274" t="str">
        <f>K4</f>
        <v>bilan au</v>
      </c>
    </row>
    <row r="44" spans="1:11" ht="11.1" customHeight="1">
      <c r="A44" s="260"/>
      <c r="B44" s="261"/>
      <c r="C44" s="292" t="str">
        <f>'detail bilan HT'!$C$6</f>
        <v>K€ HT</v>
      </c>
      <c r="D44" s="298">
        <f t="shared" si="8"/>
        <v>2011</v>
      </c>
      <c r="E44" s="293">
        <f>IF(OR('detail bilan HT'!$F$5&gt;datedépart,'detail bilan HT'!$F$5=datedépart),'detail bilan HT'!$F$5,(datedépart-1))</f>
        <v>2012</v>
      </c>
      <c r="F44" s="298">
        <f t="shared" si="8"/>
        <v>2013</v>
      </c>
      <c r="G44" s="298">
        <f t="shared" si="8"/>
        <v>2014</v>
      </c>
      <c r="H44" s="298">
        <f>H5</f>
        <v>2015</v>
      </c>
      <c r="I44" s="298" t="str">
        <f>I5</f>
        <v>suivantes</v>
      </c>
      <c r="K44" s="295">
        <f>K5</f>
        <v>39446</v>
      </c>
    </row>
    <row r="45" spans="1:11" ht="14.1" customHeight="1">
      <c r="A45" s="25" t="str">
        <f>'bilan HT'!A45</f>
        <v>A/CESSIONS</v>
      </c>
      <c r="B45" s="26"/>
      <c r="C45" s="39"/>
      <c r="D45" s="10"/>
      <c r="E45" s="10"/>
      <c r="F45" s="10"/>
      <c r="G45" s="10"/>
      <c r="H45" s="10"/>
      <c r="I45" s="10"/>
      <c r="K45" s="10"/>
    </row>
    <row r="46" spans="1:11" ht="12.95" customHeight="1">
      <c r="A46" s="29"/>
      <c r="B46" s="30" t="str">
        <f>IF('detail bilan HT'!$V$158=0,"",'detail bilan HT'!A150)</f>
        <v>Activités 40 has à 18,50 € HT le m²</v>
      </c>
      <c r="C46" s="30"/>
      <c r="D46" s="10">
        <f>IF('detail bilan HT'!$V$158=0,"",'detail bilan HT'!D158)</f>
        <v>0</v>
      </c>
      <c r="E46" s="10">
        <f>IF('detail bilan HT'!$V158=0,"",SUM('detail bilan HT'!E158:F158,IF('detail bilan HT'!$G$5&lt;datedépart,'detail bilan HT'!G158,0),IF('detail bilan HT'!$H$5&lt;datedépart,'detail bilan HT'!H158,0),IF('detail bilan HT'!$I$5&lt;datedépart,'detail bilan HT'!I158,0)))</f>
        <v>0</v>
      </c>
      <c r="F46" s="10">
        <f>IF('detail bilan HT'!$V158=0,"",IF(OR('detail bilan HT'!$G$5=datedépart,'detail bilan HT'!$G$5&gt;datedépart),'detail bilan HT'!G158,IF('detail bilan HT'!$H$5=datedépart,'detail bilan HT'!H158,IF('detail bilan HT'!$I$5=datedépart,'detail bilan HT'!I158,IF('detail bilan HT'!$J$5=datedépart,'detail bilan HT'!J158)))))</f>
        <v>740</v>
      </c>
      <c r="G46" s="10">
        <f>IF('detail bilan HT'!$V158=0,"",IF(OR('detail bilan HT'!$G$5=datedépart,'detail bilan HT'!$G$5&gt;datedépart),'detail bilan HT'!H158,IF('detail bilan HT'!$H$5=datedépart,'detail bilan HT'!I158,IF('detail bilan HT'!$I$5=datedépart,'detail bilan HT'!J158,IF('detail bilan HT'!$J$5=datedépart,'detail bilan HT'!K158)))))</f>
        <v>740</v>
      </c>
      <c r="H46" s="10">
        <f>IF('detail bilan HT'!$V158=0,"",IF(OR('detail bilan HT'!$G$5=datedépart,'detail bilan HT'!$G$5&gt;datedépart),'detail bilan HT'!I158,IF('detail bilan HT'!$H$5=datedépart,'detail bilan HT'!J158,IF('detail bilan HT'!$I$5=datedépart,'detail bilan HT'!K158,IF('detail bilan HT'!$J$5=datedépart,'detail bilan HT'!L158)))))</f>
        <v>740</v>
      </c>
      <c r="I46" s="10">
        <f>IF('detail bilan HT'!V158=0,"",'detail bilan HT'!V158-SUM(D46:H46))</f>
        <v>5180</v>
      </c>
      <c r="K46" s="10">
        <f>IF('detail bilan HT'!$V$158=0,"",SUM(D46:I46))</f>
        <v>7400</v>
      </c>
    </row>
    <row r="47" spans="1:11" ht="12.95" customHeight="1">
      <c r="A47" s="29"/>
      <c r="B47" s="30" t="str">
        <f>IF('detail bilan HT'!$V$167=0,"",'detail bilan HT'!A159)</f>
        <v/>
      </c>
      <c r="C47" s="30"/>
      <c r="D47" s="10" t="str">
        <f>IF('detail bilan HT'!$V$167=0,"",'detail bilan HT'!D167)</f>
        <v/>
      </c>
      <c r="E47" s="10" t="str">
        <f>IF('detail bilan HT'!$V167=0,"",SUM('detail bilan HT'!E167:F167,IF('detail bilan HT'!$G$5&lt;datedépart,'detail bilan HT'!G167,0),IF('detail bilan HT'!$H$5&lt;datedépart,'detail bilan HT'!H167,0),IF('detail bilan HT'!$I$5&lt;datedépart,'detail bilan HT'!I167,0)))</f>
        <v/>
      </c>
      <c r="F47" s="10" t="str">
        <f>IF('detail bilan HT'!$V167=0,"",IF(OR('detail bilan HT'!$G$5=datedépart,'detail bilan HT'!$G$5&gt;datedépart),'detail bilan HT'!G167,IF('detail bilan HT'!$H$5=datedépart,'detail bilan HT'!H167,IF('detail bilan HT'!$I$5=datedépart,'detail bilan HT'!I167,IF('detail bilan HT'!$J$5=datedépart,'detail bilan HT'!J167)))))</f>
        <v/>
      </c>
      <c r="G47" s="10" t="str">
        <f>IF('detail bilan HT'!$V167=0,"",IF(OR('detail bilan HT'!$G$5=datedépart,'detail bilan HT'!$G$5&gt;datedépart),'detail bilan HT'!H167,IF('detail bilan HT'!$H$5=datedépart,'detail bilan HT'!I167,IF('detail bilan HT'!$I$5=datedépart,'detail bilan HT'!J167,IF('detail bilan HT'!$J$5=datedépart,'detail bilan HT'!K167)))))</f>
        <v/>
      </c>
      <c r="H47" s="10" t="str">
        <f>IF('detail bilan HT'!$V167=0,"",IF(OR('detail bilan HT'!$G$5=datedépart,'detail bilan HT'!$G$5&gt;datedépart),'detail bilan HT'!I167,IF('detail bilan HT'!$H$5=datedépart,'detail bilan HT'!J167,IF('detail bilan HT'!$I$5=datedépart,'detail bilan HT'!K167,IF('detail bilan HT'!$J$5=datedépart,'detail bilan HT'!L167)))))</f>
        <v/>
      </c>
      <c r="I47" s="10" t="str">
        <f>IF('detail bilan HT'!V167=0,"",'detail bilan HT'!V167-SUM(D47:H47))</f>
        <v/>
      </c>
      <c r="K47" s="10" t="str">
        <f>IF('detail bilan HT'!$V$167=0,"",SUM(D47:I47))</f>
        <v/>
      </c>
    </row>
    <row r="48" spans="1:11" ht="12.95" customHeight="1">
      <c r="A48" s="29"/>
      <c r="B48" s="30" t="str">
        <f>IF('detail bilan HT'!$V$176=0,"",'detail bilan HT'!A168)</f>
        <v/>
      </c>
      <c r="C48" s="30"/>
      <c r="D48" s="10" t="str">
        <f>IF('detail bilan HT'!$V$176=0,"",'detail bilan HT'!D176)</f>
        <v/>
      </c>
      <c r="E48" s="10" t="str">
        <f>IF('detail bilan HT'!$V176=0,"",SUM('detail bilan HT'!E176:F176,IF('detail bilan HT'!$G$5&lt;datedépart,'detail bilan HT'!G176,0),IF('detail bilan HT'!$H$5&lt;datedépart,'detail bilan HT'!H176,0),IF('detail bilan HT'!$I$5&lt;datedépart,'detail bilan HT'!I176,0)))</f>
        <v/>
      </c>
      <c r="F48" s="10" t="str">
        <f>IF('detail bilan HT'!$V176=0,"",IF(OR('detail bilan HT'!$G$5=datedépart,'detail bilan HT'!$G$5&gt;datedépart),'detail bilan HT'!G176,IF('detail bilan HT'!$H$5=datedépart,'detail bilan HT'!H176,IF('detail bilan HT'!$I$5=datedépart,'detail bilan HT'!I176,IF('detail bilan HT'!$J$5=datedépart,'detail bilan HT'!J176)))))</f>
        <v/>
      </c>
      <c r="G48" s="10" t="str">
        <f>IF('detail bilan HT'!$V176=0,"",IF(OR('detail bilan HT'!$G$5=datedépart,'detail bilan HT'!$G$5&gt;datedépart),'detail bilan HT'!H176,IF('detail bilan HT'!$H$5=datedépart,'detail bilan HT'!I176,IF('detail bilan HT'!$I$5=datedépart,'detail bilan HT'!J176,IF('detail bilan HT'!$J$5=datedépart,'detail bilan HT'!K176)))))</f>
        <v/>
      </c>
      <c r="H48" s="10" t="str">
        <f>IF('detail bilan HT'!$V176=0,"",IF(OR('detail bilan HT'!$G$5=datedépart,'detail bilan HT'!$G$5&gt;datedépart),'detail bilan HT'!I176,IF('detail bilan HT'!$H$5=datedépart,'detail bilan HT'!J176,IF('detail bilan HT'!$I$5=datedépart,'detail bilan HT'!K176,IF('detail bilan HT'!$J$5=datedépart,'detail bilan HT'!L176)))))</f>
        <v/>
      </c>
      <c r="I48" s="10" t="str">
        <f>IF('detail bilan HT'!V176=0,"",'detail bilan HT'!V176-SUM(D48:H48))</f>
        <v/>
      </c>
      <c r="K48" s="10" t="str">
        <f>IF('detail bilan HT'!$V$176=0,"",SUM(D48:I48))</f>
        <v/>
      </c>
    </row>
    <row r="49" spans="1:18" ht="12.95" customHeight="1">
      <c r="A49" s="17" t="s">
        <v>119</v>
      </c>
      <c r="B49" s="30" t="str">
        <f>IF('detail bilan HT'!$V$185=0,"",'detail bilan HT'!A177)</f>
        <v/>
      </c>
      <c r="C49" s="30"/>
      <c r="D49" s="10" t="str">
        <f>IF('detail bilan HT'!$V$185=0,"",'detail bilan HT'!D185)</f>
        <v/>
      </c>
      <c r="E49" s="10" t="str">
        <f>IF('detail bilan HT'!$V185=0,"",SUM('detail bilan HT'!E185:F185,IF('detail bilan HT'!$G$5&lt;datedépart,'detail bilan HT'!G185,0),IF('detail bilan HT'!$H$5&lt;datedépart,'detail bilan HT'!H185,0),IF('detail bilan HT'!$I$5&lt;datedépart,'detail bilan HT'!I185,0)))</f>
        <v/>
      </c>
      <c r="F49" s="10" t="str">
        <f>IF('detail bilan HT'!$V185=0,"",IF(OR('detail bilan HT'!$G$5=datedépart,'detail bilan HT'!$G$5&gt;datedépart),'detail bilan HT'!G185,IF('detail bilan HT'!$H$5=datedépart,'detail bilan HT'!H185,IF('detail bilan HT'!$I$5=datedépart,'detail bilan HT'!I185,IF('detail bilan HT'!$J$5=datedépart,'detail bilan HT'!J185)))))</f>
        <v/>
      </c>
      <c r="G49" s="10" t="str">
        <f>IF('detail bilan HT'!$V185=0,"",IF(OR('detail bilan HT'!$G$5=datedépart,'detail bilan HT'!$G$5&gt;datedépart),'detail bilan HT'!H185,IF('detail bilan HT'!$H$5=datedépart,'detail bilan HT'!I185,IF('detail bilan HT'!$I$5=datedépart,'detail bilan HT'!J185,IF('detail bilan HT'!$J$5=datedépart,'detail bilan HT'!K185)))))</f>
        <v/>
      </c>
      <c r="H49" s="10" t="str">
        <f>IF('detail bilan HT'!$V185=0,"",IF(OR('detail bilan HT'!$G$5=datedépart,'detail bilan HT'!$G$5&gt;datedépart),'detail bilan HT'!I185,IF('detail bilan HT'!$H$5=datedépart,'detail bilan HT'!J185,IF('detail bilan HT'!$I$5=datedépart,'detail bilan HT'!K185,IF('detail bilan HT'!$J$5=datedépart,'detail bilan HT'!L185)))))</f>
        <v/>
      </c>
      <c r="I49" s="10" t="str">
        <f>IF('detail bilan HT'!V185=0,"",'detail bilan HT'!V185-SUM(D49:H49))</f>
        <v/>
      </c>
      <c r="K49" s="10" t="str">
        <f>IF('detail bilan HT'!$V$185=0,"",SUM(D49:I49))</f>
        <v/>
      </c>
    </row>
    <row r="50" spans="1:18" ht="12.95" customHeight="1">
      <c r="A50" s="17"/>
      <c r="B50" s="30" t="str">
        <f>IF('detail bilan HT'!$V$194=0,"",'detail bilan HT'!A186)</f>
        <v/>
      </c>
      <c r="C50" s="30"/>
      <c r="D50" s="10" t="str">
        <f>IF('detail bilan HT'!$V$194=0,"",'detail bilan HT'!D194)</f>
        <v/>
      </c>
      <c r="E50" s="10" t="str">
        <f>IF('detail bilan HT'!$V194=0,"",SUM('detail bilan HT'!E194:F194,IF('detail bilan HT'!$G$5&lt;datedépart,'detail bilan HT'!G194,0),IF('detail bilan HT'!$H$5&lt;datedépart,'detail bilan HT'!H194,0),IF('detail bilan HT'!$I$5&lt;datedépart,'detail bilan HT'!I194,0)))</f>
        <v/>
      </c>
      <c r="F50" s="10" t="str">
        <f>IF('detail bilan HT'!$V194=0,"",IF(OR('detail bilan HT'!$G$5=datedépart,'detail bilan HT'!$G$5&gt;datedépart),'detail bilan HT'!G194,IF('detail bilan HT'!$H$5=datedépart,'detail bilan HT'!H194,IF('detail bilan HT'!$I$5=datedépart,'detail bilan HT'!I194,IF('detail bilan HT'!$J$5=datedépart,'detail bilan HT'!J194)))))</f>
        <v/>
      </c>
      <c r="G50" s="10" t="str">
        <f>IF('detail bilan HT'!$V194=0,"",IF(OR('detail bilan HT'!$G$5=datedépart,'detail bilan HT'!$G$5&gt;datedépart),'detail bilan HT'!H194,IF('detail bilan HT'!$H$5=datedépart,'detail bilan HT'!I194,IF('detail bilan HT'!$I$5=datedépart,'detail bilan HT'!J194,IF('detail bilan HT'!$J$5=datedépart,'detail bilan HT'!K194)))))</f>
        <v/>
      </c>
      <c r="H50" s="10" t="str">
        <f>IF('detail bilan HT'!$V194=0,"",IF(OR('detail bilan HT'!$G$5=datedépart,'detail bilan HT'!$G$5&gt;datedépart),'detail bilan HT'!I194,IF('detail bilan HT'!$H$5=datedépart,'detail bilan HT'!J194,IF('detail bilan HT'!$I$5=datedépart,'detail bilan HT'!K194,IF('detail bilan HT'!$J$5=datedépart,'detail bilan HT'!L194)))))</f>
        <v/>
      </c>
      <c r="I50" s="10" t="str">
        <f>IF('detail bilan HT'!V194=0,"",'detail bilan HT'!V194-SUM(D50:H50))</f>
        <v/>
      </c>
      <c r="K50" s="10" t="str">
        <f>IF('detail bilan HT'!$V$194=0,"",SUM(D50:I50))</f>
        <v/>
      </c>
    </row>
    <row r="51" spans="1:18" ht="12.95" customHeight="1">
      <c r="A51" s="17"/>
      <c r="B51" s="30" t="str">
        <f>IF('detail bilan HT'!$V$195=0,"",'detail bilan HT'!A195)</f>
        <v/>
      </c>
      <c r="C51" s="30"/>
      <c r="D51" s="10" t="str">
        <f>IF('detail bilan HT'!$V$195=0,"",'detail bilan HT'!D195)</f>
        <v/>
      </c>
      <c r="E51" s="10" t="str">
        <f>IF('detail bilan HT'!$V195=0,"",SUM('detail bilan HT'!E195:F195,IF('detail bilan HT'!$G$5&lt;datedépart,'detail bilan HT'!G195,0),IF('detail bilan HT'!$H$5&lt;datedépart,'detail bilan HT'!H195,0),IF('detail bilan HT'!$I$5&lt;datedépart,'detail bilan HT'!I195,0)))</f>
        <v/>
      </c>
      <c r="F51" s="10" t="str">
        <f>IF('detail bilan HT'!$V195=0,"",IF(OR('detail bilan HT'!$G$5=datedépart,'detail bilan HT'!$G$5&gt;datedépart),'detail bilan HT'!G195,IF('detail bilan HT'!$H$5=datedépart,'detail bilan HT'!H195,IF('detail bilan HT'!$I$5=datedépart,'detail bilan HT'!I195,IF('detail bilan HT'!$J$5=datedépart,'detail bilan HT'!J195)))))</f>
        <v/>
      </c>
      <c r="G51" s="10" t="str">
        <f>IF('detail bilan HT'!$V195=0,"",IF(OR('detail bilan HT'!$G$5=datedépart,'detail bilan HT'!$G$5&gt;datedépart),'detail bilan HT'!H195,IF('detail bilan HT'!$H$5=datedépart,'detail bilan HT'!I195,IF('detail bilan HT'!$I$5=datedépart,'detail bilan HT'!J195,IF('detail bilan HT'!$J$5=datedépart,'detail bilan HT'!K195)))))</f>
        <v/>
      </c>
      <c r="H51" s="10" t="str">
        <f>IF('detail bilan HT'!$V195=0,"",IF(OR('detail bilan HT'!$G$5=datedépart,'detail bilan HT'!$G$5&gt;datedépart),'detail bilan HT'!I195,IF('detail bilan HT'!$H$5=datedépart,'detail bilan HT'!J195,IF('detail bilan HT'!$I$5=datedépart,'detail bilan HT'!K195,IF('detail bilan HT'!$J$5=datedépart,'detail bilan HT'!L195)))))</f>
        <v/>
      </c>
      <c r="I51" s="10" t="str">
        <f>IF('detail bilan HT'!V195=0,"",'detail bilan HT'!V195-SUM(D51:H51))</f>
        <v/>
      </c>
      <c r="K51" s="10" t="str">
        <f>IF('detail bilan HT'!$V$195=0,"",SUM(D51:I51))</f>
        <v/>
      </c>
    </row>
    <row r="52" spans="1:18" ht="12.95" customHeight="1">
      <c r="A52" s="34"/>
      <c r="B52"/>
      <c r="C52" s="36" t="s">
        <v>58</v>
      </c>
      <c r="D52" s="37">
        <f t="shared" ref="D52:I52" si="9">SUM(D46:D51)</f>
        <v>0</v>
      </c>
      <c r="E52" s="37">
        <f t="shared" si="9"/>
        <v>0</v>
      </c>
      <c r="F52" s="37">
        <f t="shared" si="9"/>
        <v>740</v>
      </c>
      <c r="G52" s="37">
        <f t="shared" si="9"/>
        <v>740</v>
      </c>
      <c r="H52" s="37">
        <f t="shared" si="9"/>
        <v>740</v>
      </c>
      <c r="I52" s="37">
        <f t="shared" si="9"/>
        <v>5180</v>
      </c>
      <c r="K52" s="37">
        <f>SUM(K46:K51)</f>
        <v>7400</v>
      </c>
      <c r="P52" s="5"/>
      <c r="Q52" s="5"/>
    </row>
    <row r="53" spans="1:18" ht="12.95" customHeight="1">
      <c r="A53" s="38" t="str">
        <f>'bilan HT'!A53</f>
        <v>B/SUBVENTIONS</v>
      </c>
      <c r="B53"/>
      <c r="C53" s="36"/>
      <c r="D53" s="37"/>
      <c r="E53" s="37"/>
      <c r="F53" s="37"/>
      <c r="G53" s="37"/>
      <c r="H53" s="37"/>
      <c r="I53" s="37"/>
      <c r="K53" s="37"/>
      <c r="P53" s="5"/>
      <c r="Q53" s="5"/>
    </row>
    <row r="54" spans="1:18" ht="12.95" customHeight="1">
      <c r="A54" s="38"/>
      <c r="B54"/>
      <c r="C54" s="36" t="s">
        <v>62</v>
      </c>
      <c r="D54" s="37">
        <f>'detail bilan HT'!D205</f>
        <v>0</v>
      </c>
      <c r="E54" s="14">
        <f>SUM('detail bilan HT'!E205:F205,IF('detail bilan HT'!$G$5&lt;datedépart,'detail bilan HT'!G205,0),IF('detail bilan HT'!$H$5&lt;datedépart,'detail bilan HT'!H205,0),IF('detail bilan HT'!$I$5&lt;datedépart,'detail bilan HT'!I205,0))</f>
        <v>0</v>
      </c>
      <c r="F54" s="14">
        <f>IF(OR('detail bilan HT'!$G$5=datedépart,'detail bilan HT'!$G$5&gt;datedépart),'detail bilan HT'!G205,IF('detail bilan HT'!$H$5=datedépart,'detail bilan HT'!H205,IF('detail bilan HT'!$I$5=datedépart,'detail bilan HT'!I205,IF('detail bilan HT'!$J$5=datedépart,'detail bilan HT'!J205))))</f>
        <v>100</v>
      </c>
      <c r="G54" s="14">
        <f>IF(OR('detail bilan HT'!$G$5=datedépart,'detail bilan HT'!$G$5&gt;datedépart),'detail bilan HT'!H205,IF('detail bilan HT'!$H$5=datedépart,'detail bilan HT'!I205,IF('detail bilan HT'!$I$5=datedépart,'detail bilan HT'!J205,IF('detail bilan HT'!$J$5=datedépart,'detail bilan HT'!K205))))</f>
        <v>0</v>
      </c>
      <c r="H54" s="14">
        <f>IF(OR('detail bilan HT'!$G$5=datedépart,'detail bilan HT'!$G$5&gt;datedépart),'detail bilan HT'!I205,IF('detail bilan HT'!$H$5=datedépart,'detail bilan HT'!J205,IF('detail bilan HT'!$I$5=datedépart,'detail bilan HT'!K205,IF('detail bilan HT'!$J$5=datedépart,'detail bilan HT'!L205))))</f>
        <v>0</v>
      </c>
      <c r="I54" s="14">
        <f>'detail bilan HT'!V205-SUM(D54:H54)</f>
        <v>0</v>
      </c>
      <c r="K54" s="37">
        <f>SUM(D54:J54)</f>
        <v>100</v>
      </c>
      <c r="P54" s="5"/>
      <c r="Q54" s="5"/>
    </row>
    <row r="55" spans="1:18" s="12" customFormat="1" ht="12.95" customHeight="1">
      <c r="A55" s="38" t="str">
        <f>'bilan HT'!A55</f>
        <v>C/AUTRES PRODUITS</v>
      </c>
      <c r="B55" s="39"/>
      <c r="C55" s="39"/>
      <c r="D55" s="10"/>
      <c r="E55" s="10"/>
      <c r="F55" s="10"/>
      <c r="G55" s="10"/>
      <c r="H55" s="10"/>
      <c r="I55" s="10"/>
      <c r="J55"/>
      <c r="K55" s="10"/>
      <c r="P55" s="30"/>
      <c r="Q55" s="30"/>
    </row>
    <row r="56" spans="1:18" s="12" customFormat="1" ht="12.95" customHeight="1">
      <c r="A56" s="17"/>
      <c r="B56" s="30" t="str">
        <f>'bilan HT'!B56</f>
        <v/>
      </c>
      <c r="C56" s="30"/>
      <c r="D56" s="10" t="str">
        <f>IF('detail bilan HT'!$V207=0,"",'detail bilan HT'!D207)</f>
        <v/>
      </c>
      <c r="E56" s="10" t="str">
        <f>IF('detail bilan HT'!$V207=0,"",SUM('detail bilan HT'!E207:F207,IF('detail bilan HT'!$G$5&lt;datedépart,'detail bilan HT'!G207,0),IF('detail bilan HT'!$H$5&lt;datedépart,'detail bilan HT'!H207,0),IF('detail bilan HT'!$I$5&lt;datedépart,'detail bilan HT'!I207,0)))</f>
        <v/>
      </c>
      <c r="F56" s="10" t="str">
        <f>IF('detail bilan HT'!$V207=0,"",IF(OR('detail bilan HT'!$G$5=datedépart,'detail bilan HT'!$G$5&gt;datedépart),'detail bilan HT'!G207,IF('detail bilan HT'!$H$5=datedépart,'detail bilan HT'!H207,IF('detail bilan HT'!$I$5=datedépart,'detail bilan HT'!I207,IF('detail bilan HT'!$J$5=datedépart,'detail bilan HT'!J207)))))</f>
        <v/>
      </c>
      <c r="G56" s="10" t="str">
        <f>IF('detail bilan HT'!$V207=0,"",IF(OR('detail bilan HT'!$G$5=datedépart,'detail bilan HT'!$G$5&gt;datedépart),'detail bilan HT'!H207,IF('detail bilan HT'!$H$5=datedépart,'detail bilan HT'!I207,IF('detail bilan HT'!$I$5=datedépart,'detail bilan HT'!J207,IF('detail bilan HT'!$J$5=datedépart,'detail bilan HT'!K207)))))</f>
        <v/>
      </c>
      <c r="H56" s="10" t="str">
        <f>IF('detail bilan HT'!$V207=0,"",IF(OR('detail bilan HT'!$G$5=datedépart,'detail bilan HT'!$G$5&gt;datedépart),'detail bilan HT'!I207,IF('detail bilan HT'!$H$5=datedépart,'detail bilan HT'!J207,IF('detail bilan HT'!$I$5=datedépart,'detail bilan HT'!K207,IF('detail bilan HT'!$J$5=datedépart,'detail bilan HT'!L207)))))</f>
        <v/>
      </c>
      <c r="I56" s="10" t="str">
        <f>IF('detail bilan HT'!V207=0,"",'detail bilan HT'!V207-SUM(D56:H56))</f>
        <v/>
      </c>
      <c r="J56"/>
      <c r="K56" s="10" t="str">
        <f>IF(SUM(D56:J56)=0,"",SUM(D56:I56))</f>
        <v/>
      </c>
      <c r="P56" s="30"/>
      <c r="Q56" s="30"/>
    </row>
    <row r="57" spans="1:18" s="12" customFormat="1" ht="12.95" customHeight="1">
      <c r="A57" s="17"/>
      <c r="B57" s="30" t="str">
        <f>'bilan HT'!B57</f>
        <v/>
      </c>
      <c r="C57" s="30"/>
      <c r="D57" s="10" t="str">
        <f>IF('detail bilan HT'!$V208=0,"",'detail bilan HT'!D208)</f>
        <v/>
      </c>
      <c r="E57" s="10" t="str">
        <f>IF('detail bilan HT'!$V208=0,"",SUM('detail bilan HT'!E208:F208,IF('detail bilan HT'!$G$5&lt;datedépart,'detail bilan HT'!G208,0),IF('detail bilan HT'!$H$5&lt;datedépart,'detail bilan HT'!H208,0),IF('detail bilan HT'!$I$5&lt;datedépart,'detail bilan HT'!I208,0)))</f>
        <v/>
      </c>
      <c r="F57" s="10" t="str">
        <f>IF('detail bilan HT'!$V208=0,"",IF(OR('detail bilan HT'!$G$5=datedépart,'detail bilan HT'!$G$5&gt;datedépart),'detail bilan HT'!G208,IF('detail bilan HT'!$H$5=datedépart,'detail bilan HT'!H208,IF('detail bilan HT'!$I$5=datedépart,'detail bilan HT'!I208,IF('detail bilan HT'!$J$5=datedépart,'detail bilan HT'!J208)))))</f>
        <v/>
      </c>
      <c r="G57" s="10" t="str">
        <f>IF('detail bilan HT'!$V208=0,"",IF(OR('detail bilan HT'!$G$5=datedépart,'detail bilan HT'!$G$5&gt;datedépart),'detail bilan HT'!H208,IF('detail bilan HT'!$H$5=datedépart,'detail bilan HT'!I208,IF('detail bilan HT'!$I$5=datedépart,'detail bilan HT'!J208,IF('detail bilan HT'!$J$5=datedépart,'detail bilan HT'!K208)))))</f>
        <v/>
      </c>
      <c r="H57" s="10" t="str">
        <f>IF('detail bilan HT'!$V208=0,"",IF(OR('detail bilan HT'!$G$5=datedépart,'detail bilan HT'!$G$5&gt;datedépart),'detail bilan HT'!I208,IF('detail bilan HT'!$H$5=datedépart,'detail bilan HT'!J208,IF('detail bilan HT'!$I$5=datedépart,'detail bilan HT'!K208,IF('detail bilan HT'!$J$5=datedépart,'detail bilan HT'!L208)))))</f>
        <v/>
      </c>
      <c r="I57" s="10" t="str">
        <f>IF('detail bilan HT'!V208=0,"",'detail bilan HT'!V208-SUM(D57:H57))</f>
        <v/>
      </c>
      <c r="J57"/>
      <c r="K57" s="10" t="str">
        <f>IF(SUM(D57:J57)=0,"",SUM(D57:I57))</f>
        <v/>
      </c>
      <c r="P57" s="30"/>
      <c r="Q57" s="30"/>
    </row>
    <row r="58" spans="1:18" ht="12.95" customHeight="1">
      <c r="A58" s="17"/>
      <c r="B58" s="30" t="str">
        <f>'bilan HT'!B58</f>
        <v/>
      </c>
      <c r="C58" s="30"/>
      <c r="D58" s="10" t="str">
        <f>IF('detail bilan HT'!$V209=0,"",'detail bilan HT'!D209)</f>
        <v/>
      </c>
      <c r="E58" s="10" t="str">
        <f>IF('detail bilan HT'!$V209=0,"",SUM('detail bilan HT'!E209:F209,IF('detail bilan HT'!$G$5&lt;datedépart,'detail bilan HT'!G209,0),IF('detail bilan HT'!$H$5&lt;datedépart,'detail bilan HT'!H209,0),IF('detail bilan HT'!$I$5&lt;datedépart,'detail bilan HT'!I209,0)))</f>
        <v/>
      </c>
      <c r="F58" s="10" t="str">
        <f>IF('detail bilan HT'!$V209=0,"",IF(OR('detail bilan HT'!$G$5=datedépart,'detail bilan HT'!$G$5&gt;datedépart),'detail bilan HT'!G209,IF('detail bilan HT'!$H$5=datedépart,'detail bilan HT'!H209,IF('detail bilan HT'!$I$5=datedépart,'detail bilan HT'!I209,IF('detail bilan HT'!$J$5=datedépart,'detail bilan HT'!J209)))))</f>
        <v/>
      </c>
      <c r="G58" s="10" t="str">
        <f>IF('detail bilan HT'!$V209=0,"",IF(OR('detail bilan HT'!$G$5=datedépart,'detail bilan HT'!$G$5&gt;datedépart),'detail bilan HT'!H209,IF('detail bilan HT'!$H$5=datedépart,'detail bilan HT'!I209,IF('detail bilan HT'!$I$5=datedépart,'detail bilan HT'!J209,IF('detail bilan HT'!$J$5=datedépart,'detail bilan HT'!K209)))))</f>
        <v/>
      </c>
      <c r="H58" s="10" t="str">
        <f>IF('detail bilan HT'!$V209=0,"",IF(OR('detail bilan HT'!$G$5=datedépart,'detail bilan HT'!$G$5&gt;datedépart),'detail bilan HT'!I209,IF('detail bilan HT'!$H$5=datedépart,'detail bilan HT'!J209,IF('detail bilan HT'!$I$5=datedépart,'detail bilan HT'!K209,IF('detail bilan HT'!$J$5=datedépart,'detail bilan HT'!L209)))))</f>
        <v/>
      </c>
      <c r="I58" s="10" t="str">
        <f>IF('detail bilan HT'!V209=0,"",'detail bilan HT'!V209-SUM(D58:H58))</f>
        <v/>
      </c>
      <c r="K58" s="10" t="str">
        <f>IF(SUM(D58:J58)=0,"",SUM(D58:I58))</f>
        <v/>
      </c>
      <c r="P58" s="5"/>
      <c r="Q58" s="5"/>
      <c r="R58" s="5"/>
    </row>
    <row r="59" spans="1:18" ht="12.95" customHeight="1">
      <c r="A59" s="34"/>
      <c r="B59"/>
      <c r="C59" s="36" t="str">
        <f>'bilan HT'!D59</f>
        <v>TOTAL C</v>
      </c>
      <c r="D59" s="37">
        <f t="shared" ref="D59:I59" si="10">SUM(D56:D58)</f>
        <v>0</v>
      </c>
      <c r="E59" s="37">
        <f t="shared" si="10"/>
        <v>0</v>
      </c>
      <c r="F59" s="37">
        <f t="shared" si="10"/>
        <v>0</v>
      </c>
      <c r="G59" s="37">
        <f t="shared" si="10"/>
        <v>0</v>
      </c>
      <c r="H59" s="37">
        <f t="shared" si="10"/>
        <v>0</v>
      </c>
      <c r="I59" s="37">
        <f t="shared" si="10"/>
        <v>0</v>
      </c>
      <c r="K59" s="37">
        <f>SUM(K56:K58)</f>
        <v>0</v>
      </c>
      <c r="L59" s="51"/>
      <c r="P59" s="5"/>
      <c r="Q59" s="5"/>
      <c r="R59" s="5"/>
    </row>
    <row r="60" spans="1:18" ht="12.95" customHeight="1">
      <c r="A60" s="38" t="str">
        <f>'bilan HT'!A60</f>
        <v>D/PARTICIPATION DE LA COLLECTIVITE</v>
      </c>
      <c r="B60"/>
      <c r="C60" s="36"/>
      <c r="D60" s="205"/>
      <c r="E60" s="205"/>
      <c r="F60" s="205"/>
      <c r="G60" s="205"/>
      <c r="H60" s="205"/>
      <c r="I60" s="205"/>
      <c r="K60" s="205"/>
      <c r="L60" s="51"/>
      <c r="P60" s="5"/>
      <c r="Q60" s="5"/>
      <c r="R60" s="5"/>
    </row>
    <row r="61" spans="1:18" ht="12.95" customHeight="1">
      <c r="A61" s="38"/>
      <c r="B61" s="30" t="str">
        <f>IF('detail bilan HT'!$V212=0,"",'detail bilan HT'!B212)</f>
        <v/>
      </c>
      <c r="C61" s="30"/>
      <c r="D61" s="10" t="str">
        <f>IF('detail bilan HT'!$V212=0,"",'detail bilan HT'!D212)</f>
        <v/>
      </c>
      <c r="E61" s="10" t="str">
        <f>IF('detail bilan HT'!$V212=0,"",SUM('detail bilan HT'!E212:F212,IF('detail bilan HT'!$G$5&lt;datedépart,'detail bilan HT'!G212,0),IF('detail bilan HT'!$H$5&lt;datedépart,'detail bilan HT'!H212,0),IF('detail bilan HT'!$I$5&lt;datedépart,'detail bilan HT'!I212,0)))</f>
        <v/>
      </c>
      <c r="F61" s="10" t="str">
        <f>IF('detail bilan HT'!$V212=0,"",IF(OR('detail bilan HT'!$G$5=datedépart,'detail bilan HT'!$G$5&gt;datedépart),'detail bilan HT'!G212,IF('detail bilan HT'!$H$5=datedépart,'detail bilan HT'!H212,IF('detail bilan HT'!$I$5=datedépart,'detail bilan HT'!I212,IF('detail bilan HT'!$J$5=datedépart,'detail bilan HT'!J212)))))</f>
        <v/>
      </c>
      <c r="G61" s="10" t="str">
        <f>IF('detail bilan HT'!$V212=0,"",IF(OR('detail bilan HT'!$G$5=datedépart,'detail bilan HT'!$G$5&gt;datedépart),'detail bilan HT'!H212,IF('detail bilan HT'!$H$5=datedépart,'detail bilan HT'!I212,IF('detail bilan HT'!$I$5=datedépart,'detail bilan HT'!J212,IF('detail bilan HT'!$J$5=datedépart,'detail bilan HT'!K212)))))</f>
        <v/>
      </c>
      <c r="H61" s="10" t="str">
        <f>IF('detail bilan HT'!$V212=0,"",IF(OR('detail bilan HT'!$G$5=datedépart,'detail bilan HT'!$G$5&gt;datedépart),'detail bilan HT'!I212,IF('detail bilan HT'!$H$5=datedépart,'detail bilan HT'!J212,IF('detail bilan HT'!$I$5=datedépart,'detail bilan HT'!K212,IF('detail bilan HT'!$J$5=datedépart,'detail bilan HT'!L212)))))</f>
        <v/>
      </c>
      <c r="I61" s="10" t="str">
        <f>IF('detail bilan HT'!V212=0,"",'detail bilan HT'!V212-SUM(D61:H61))</f>
        <v/>
      </c>
      <c r="K61" s="10" t="str">
        <f>IF(SUM(D61:J61)=0,"",SUM(D61:I61))</f>
        <v/>
      </c>
      <c r="L61" s="51"/>
      <c r="P61" s="5"/>
      <c r="Q61" s="5"/>
      <c r="R61" s="5"/>
    </row>
    <row r="62" spans="1:18" ht="12.95" customHeight="1">
      <c r="A62" s="38"/>
      <c r="B62" s="30" t="str">
        <f>IF('detail bilan HT'!$V213=0,"",'detail bilan HT'!B213)</f>
        <v/>
      </c>
      <c r="C62" s="30"/>
      <c r="D62" s="10" t="str">
        <f>IF('detail bilan HT'!$V213=0,"",'detail bilan HT'!D213)</f>
        <v/>
      </c>
      <c r="E62" s="10" t="str">
        <f>IF('detail bilan HT'!$V213=0,"",SUM('detail bilan HT'!E213:F213,IF('detail bilan HT'!$G$5&lt;datedépart,'detail bilan HT'!G213,0),IF('detail bilan HT'!$H$5&lt;datedépart,'detail bilan HT'!H213,0),IF('detail bilan HT'!$I$5&lt;datedépart,'detail bilan HT'!I213,0)))</f>
        <v/>
      </c>
      <c r="F62" s="10" t="str">
        <f>IF('detail bilan HT'!$V213=0,"",IF(OR('detail bilan HT'!$G$5=datedépart,'detail bilan HT'!$G$5&gt;datedépart),'detail bilan HT'!G213,IF('detail bilan HT'!$H$5=datedépart,'detail bilan HT'!H213,IF('detail bilan HT'!$I$5=datedépart,'detail bilan HT'!I213,IF('detail bilan HT'!$J$5=datedépart,'detail bilan HT'!J213)))))</f>
        <v/>
      </c>
      <c r="G62" s="10" t="str">
        <f>IF('detail bilan HT'!$V213=0,"",IF(OR('detail bilan HT'!$G$5=datedépart,'detail bilan HT'!$G$5&gt;datedépart),'detail bilan HT'!H213,IF('detail bilan HT'!$H$5=datedépart,'detail bilan HT'!I213,IF('detail bilan HT'!$I$5=datedépart,'detail bilan HT'!J213,IF('detail bilan HT'!$J$5=datedépart,'detail bilan HT'!K213)))))</f>
        <v/>
      </c>
      <c r="H62" s="10" t="str">
        <f>IF('detail bilan HT'!$V213=0,"",IF(OR('detail bilan HT'!$G$5=datedépart,'detail bilan HT'!$G$5&gt;datedépart),'detail bilan HT'!I213,IF('detail bilan HT'!$H$5=datedépart,'detail bilan HT'!J213,IF('detail bilan HT'!$I$5=datedépart,'detail bilan HT'!K213,IF('detail bilan HT'!$J$5=datedépart,'detail bilan HT'!L213)))))</f>
        <v/>
      </c>
      <c r="I62" s="10" t="str">
        <f>IF('detail bilan HT'!V213=0,"",'detail bilan HT'!V213-SUM(D62:H62))</f>
        <v/>
      </c>
      <c r="K62" s="10" t="str">
        <f>IF(SUM(D62:J62)=0,"",SUM(D62:I62))</f>
        <v/>
      </c>
      <c r="L62" s="51"/>
      <c r="P62" s="5"/>
      <c r="Q62" s="5"/>
      <c r="R62" s="5"/>
    </row>
    <row r="63" spans="1:18" ht="12.95" customHeight="1">
      <c r="A63" s="38"/>
      <c r="B63" s="30" t="str">
        <f>IF('detail bilan HT'!$V214=0,"",'detail bilan HT'!B214)</f>
        <v/>
      </c>
      <c r="C63" s="30"/>
      <c r="D63" s="10" t="str">
        <f>IF('detail bilan HT'!$V214=0,"",'detail bilan HT'!D214)</f>
        <v/>
      </c>
      <c r="E63" s="10" t="str">
        <f>IF('detail bilan HT'!$V214=0,"",SUM('detail bilan HT'!E214:F214,IF('detail bilan HT'!$G$5&lt;datedépart,'detail bilan HT'!G214,0),IF('detail bilan HT'!$H$5&lt;datedépart,'detail bilan HT'!H214,0),IF('detail bilan HT'!$I$5&lt;datedépart,'detail bilan HT'!I214,0)))</f>
        <v/>
      </c>
      <c r="F63" s="10" t="str">
        <f>IF('detail bilan HT'!$V214=0,"",IF(OR('detail bilan HT'!$G$5=datedépart,'detail bilan HT'!$G$5&gt;datedépart),'detail bilan HT'!G214,IF('detail bilan HT'!$H$5=datedépart,'detail bilan HT'!H214,IF('detail bilan HT'!$I$5=datedépart,'detail bilan HT'!I214,IF('detail bilan HT'!$J$5=datedépart,'detail bilan HT'!J214)))))</f>
        <v/>
      </c>
      <c r="G63" s="10" t="str">
        <f>IF('detail bilan HT'!$V214=0,"",IF(OR('detail bilan HT'!$G$5=datedépart,'detail bilan HT'!$G$5&gt;datedépart),'detail bilan HT'!H214,IF('detail bilan HT'!$H$5=datedépart,'detail bilan HT'!I214,IF('detail bilan HT'!$I$5=datedépart,'detail bilan HT'!J214,IF('detail bilan HT'!$J$5=datedépart,'detail bilan HT'!K214)))))</f>
        <v/>
      </c>
      <c r="H63" s="10" t="str">
        <f>IF('detail bilan HT'!$V214=0,"",IF(OR('detail bilan HT'!$G$5=datedépart,'detail bilan HT'!$G$5&gt;datedépart),'detail bilan HT'!I214,IF('detail bilan HT'!$H$5=datedépart,'detail bilan HT'!J214,IF('detail bilan HT'!$I$5=datedépart,'detail bilan HT'!K214,IF('detail bilan HT'!$J$5=datedépart,'detail bilan HT'!L214)))))</f>
        <v/>
      </c>
      <c r="I63" s="10" t="str">
        <f>IF('detail bilan HT'!V214=0,"",'detail bilan HT'!V214-SUM(D63:H63))</f>
        <v/>
      </c>
      <c r="K63" s="10" t="str">
        <f>IF(SUM(D63:J63)=0,"",SUM(D63:I63))</f>
        <v/>
      </c>
      <c r="L63" s="51"/>
      <c r="P63" s="5"/>
      <c r="Q63" s="5"/>
      <c r="R63" s="5"/>
    </row>
    <row r="64" spans="1:18" ht="12.95" customHeight="1">
      <c r="A64" s="38"/>
      <c r="B64" s="30" t="str">
        <f>IF('detail bilan HT'!$V215=0,"",'detail bilan HT'!B215)</f>
        <v/>
      </c>
      <c r="C64" s="30"/>
      <c r="D64" s="10" t="str">
        <f>IF('detail bilan HT'!$V215=0,"",'detail bilan HT'!D215)</f>
        <v/>
      </c>
      <c r="E64" s="10" t="str">
        <f>IF('detail bilan HT'!$V215=0,"",SUM('detail bilan HT'!E215:F215,IF('detail bilan HT'!$G$5&lt;datedépart,'detail bilan HT'!G215,0),IF('detail bilan HT'!$H$5&lt;datedépart,'detail bilan HT'!H215,0),IF('detail bilan HT'!$I$5&lt;datedépart,'detail bilan HT'!I215,0)))</f>
        <v/>
      </c>
      <c r="F64" s="10" t="str">
        <f>IF('detail bilan HT'!$V215=0,"",IF(OR('detail bilan HT'!$G$5=datedépart,'detail bilan HT'!$G$5&gt;datedépart),'detail bilan HT'!G215,IF('detail bilan HT'!$H$5=datedépart,'detail bilan HT'!H215,IF('detail bilan HT'!$I$5=datedépart,'detail bilan HT'!I215,IF('detail bilan HT'!$J$5=datedépart,'detail bilan HT'!J215)))))</f>
        <v/>
      </c>
      <c r="G64" s="10" t="str">
        <f>IF('detail bilan HT'!$V215=0,"",IF(OR('detail bilan HT'!$G$5=datedépart,'detail bilan HT'!$G$5&gt;datedépart),'detail bilan HT'!H215,IF('detail bilan HT'!$H$5=datedépart,'detail bilan HT'!I215,IF('detail bilan HT'!$I$5=datedépart,'detail bilan HT'!J215,IF('detail bilan HT'!$J$5=datedépart,'detail bilan HT'!K215)))))</f>
        <v/>
      </c>
      <c r="H64" s="10" t="str">
        <f>IF('detail bilan HT'!$V215=0,"",IF(OR('detail bilan HT'!$G$5=datedépart,'detail bilan HT'!$G$5&gt;datedépart),'detail bilan HT'!I215,IF('detail bilan HT'!$H$5=datedépart,'detail bilan HT'!J215,IF('detail bilan HT'!$I$5=datedépart,'detail bilan HT'!K215,IF('detail bilan HT'!$J$5=datedépart,'detail bilan HT'!L215)))))</f>
        <v/>
      </c>
      <c r="I64" s="10" t="str">
        <f>IF('detail bilan HT'!V215=0,"",'detail bilan HT'!V215-SUM(D64:H64))</f>
        <v/>
      </c>
      <c r="K64" s="10" t="str">
        <f>IF(SUM(D64:J64)=0,"",SUM(D64:I64))</f>
        <v/>
      </c>
      <c r="L64" s="51"/>
      <c r="P64" s="5"/>
      <c r="Q64" s="5"/>
      <c r="R64" s="5"/>
    </row>
    <row r="65" spans="1:18" ht="12.95" customHeight="1">
      <c r="A65" s="38"/>
      <c r="B65"/>
      <c r="C65" s="36" t="str">
        <f>'bilan HT'!D65</f>
        <v>TOTAL D</v>
      </c>
      <c r="D65" s="37">
        <f t="shared" ref="D65:I65" si="11">SUM(D61:D64)</f>
        <v>0</v>
      </c>
      <c r="E65" s="37">
        <f t="shared" si="11"/>
        <v>0</v>
      </c>
      <c r="F65" s="37">
        <f t="shared" si="11"/>
        <v>0</v>
      </c>
      <c r="G65" s="37">
        <f t="shared" si="11"/>
        <v>0</v>
      </c>
      <c r="H65" s="37">
        <f t="shared" si="11"/>
        <v>0</v>
      </c>
      <c r="I65" s="37">
        <f t="shared" si="11"/>
        <v>0</v>
      </c>
      <c r="K65" s="37">
        <f>SUM(K61:K64)</f>
        <v>0</v>
      </c>
      <c r="L65" s="51"/>
      <c r="P65" s="5"/>
      <c r="Q65" s="5"/>
      <c r="R65" s="5"/>
    </row>
    <row r="66" spans="1:18" s="23" customFormat="1" ht="3" customHeight="1">
      <c r="A66" s="38"/>
      <c r="B66"/>
      <c r="C66" s="36"/>
      <c r="D66" s="202"/>
      <c r="E66" s="202"/>
      <c r="F66" s="202"/>
      <c r="G66" s="202"/>
      <c r="H66" s="202"/>
      <c r="I66" s="202"/>
      <c r="J66"/>
      <c r="K66" s="202"/>
      <c r="L66" s="41"/>
      <c r="P66" s="41"/>
      <c r="Q66" s="41"/>
      <c r="R66" s="41"/>
    </row>
    <row r="67" spans="1:18" ht="15" customHeight="1">
      <c r="A67" s="251"/>
      <c r="B67" s="252"/>
      <c r="C67" s="253" t="s">
        <v>68</v>
      </c>
      <c r="D67" s="281">
        <f t="shared" ref="D67:I67" si="12">SUM(D52,D54,D59,D65)</f>
        <v>0</v>
      </c>
      <c r="E67" s="281">
        <f t="shared" si="12"/>
        <v>0</v>
      </c>
      <c r="F67" s="281">
        <f t="shared" si="12"/>
        <v>840</v>
      </c>
      <c r="G67" s="281">
        <f t="shared" si="12"/>
        <v>740</v>
      </c>
      <c r="H67" s="281">
        <f t="shared" si="12"/>
        <v>740</v>
      </c>
      <c r="I67" s="281">
        <f t="shared" si="12"/>
        <v>5180</v>
      </c>
      <c r="K67" s="281">
        <f>SUM(K52,K54,K59,K65)</f>
        <v>7500</v>
      </c>
    </row>
    <row r="68" spans="1:18" ht="15" customHeight="1"/>
    <row r="69" spans="1:18" ht="15" customHeight="1">
      <c r="A69" s="48"/>
      <c r="B69" s="48"/>
      <c r="C69" s="48"/>
    </row>
    <row r="70" spans="1:18" ht="15" customHeight="1">
      <c r="A70" s="48"/>
      <c r="B70" s="48"/>
      <c r="C70" s="48"/>
    </row>
    <row r="71" spans="1:18" ht="15" customHeight="1">
      <c r="A71" s="48"/>
      <c r="B71" s="48"/>
      <c r="C71" s="48"/>
    </row>
    <row r="72" spans="1:18" ht="15" customHeight="1">
      <c r="A72" s="48"/>
      <c r="B72" s="48"/>
      <c r="C72" s="48"/>
    </row>
    <row r="73" spans="1:18" ht="15" customHeight="1">
      <c r="A73" s="48"/>
      <c r="B73" s="48"/>
      <c r="C73" s="48"/>
    </row>
    <row r="74" spans="1:18" ht="15" customHeight="1">
      <c r="A74" s="48"/>
      <c r="B74" s="48"/>
      <c r="C74" s="48"/>
    </row>
    <row r="75" spans="1:18" ht="15" customHeight="1">
      <c r="A75" s="48"/>
      <c r="B75" s="48"/>
      <c r="C75" s="48"/>
    </row>
    <row r="76" spans="1:18" ht="15" customHeight="1">
      <c r="A76" s="48"/>
      <c r="B76" s="48"/>
      <c r="C76" s="48"/>
    </row>
    <row r="77" spans="1:18" ht="15" customHeight="1">
      <c r="A77" s="48"/>
      <c r="B77" s="48"/>
      <c r="C77" s="48"/>
    </row>
    <row r="78" spans="1:18" ht="15" customHeight="1">
      <c r="A78" s="48"/>
      <c r="B78" s="48"/>
      <c r="C78" s="48"/>
    </row>
    <row r="79" spans="1:18" ht="15" customHeight="1">
      <c r="A79" s="48"/>
      <c r="B79" s="48"/>
      <c r="C79" s="48"/>
    </row>
    <row r="80" spans="1:18" ht="15" customHeight="1">
      <c r="A80" s="48"/>
      <c r="B80" s="48"/>
      <c r="C80" s="48"/>
    </row>
    <row r="81" spans="1:3" ht="15" customHeight="1">
      <c r="A81" s="48"/>
      <c r="B81" s="48"/>
      <c r="C81" s="48"/>
    </row>
    <row r="82" spans="1:3" ht="15" customHeight="1">
      <c r="A82" s="48"/>
      <c r="B82" s="48"/>
      <c r="C82" s="48"/>
    </row>
    <row r="83" spans="1:3" ht="15" customHeight="1"/>
    <row r="84" spans="1:3" ht="15" customHeight="1"/>
    <row r="85" spans="1:3" ht="15" customHeight="1"/>
    <row r="86" spans="1:3" ht="15" customHeight="1"/>
    <row r="87" spans="1:3" ht="15" customHeight="1"/>
    <row r="88" spans="1:3" ht="15" customHeight="1"/>
    <row r="89" spans="1:3" ht="15" customHeight="1"/>
    <row r="90" spans="1:3" ht="15" customHeight="1"/>
    <row r="91" spans="1:3" ht="15" customHeight="1"/>
    <row r="92" spans="1:3" ht="15" customHeight="1"/>
    <row r="93" spans="1:3" ht="15" customHeight="1"/>
    <row r="94" spans="1:3" ht="15" customHeight="1"/>
    <row r="95" spans="1:3" ht="15" customHeight="1"/>
    <row r="96" spans="1: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</sheetData>
  <sheetProtection password="CB8E" sheet="1" objects="1" scenarios="1"/>
  <mergeCells count="2">
    <mergeCell ref="A2:K2"/>
    <mergeCell ref="A1:K1"/>
  </mergeCells>
  <phoneticPr fontId="0" type="noConversion"/>
  <printOptions horizontalCentered="1"/>
  <pageMargins left="0" right="0" top="0" bottom="0" header="0" footer="0"/>
  <pageSetup paperSize="9" scale="98" orientation="portrait" r:id="rId1"/>
  <headerFooter alignWithMargins="0">
    <oddFooter xml:space="preserve">&amp;R&amp;"Times New Roman,Italique"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opLeftCell="A9" zoomScaleNormal="100" workbookViewId="0">
      <selection activeCell="E19" sqref="E19"/>
    </sheetView>
  </sheetViews>
  <sheetFormatPr baseColWidth="10" defaultRowHeight="15"/>
  <cols>
    <col min="1" max="1" width="2.7109375" style="4" customWidth="1"/>
    <col min="2" max="2" width="30.7109375" style="4" customWidth="1"/>
    <col min="3" max="6" width="10.7109375" style="4" customWidth="1"/>
    <col min="7" max="8" width="10.7109375" style="5" customWidth="1"/>
    <col min="9" max="9" width="7.42578125" style="5" customWidth="1"/>
    <col min="10" max="10" width="11.28515625" style="4" customWidth="1"/>
    <col min="11" max="19" width="6.7109375" style="4" customWidth="1"/>
    <col min="20" max="22" width="7.7109375" style="4" customWidth="1"/>
    <col min="23" max="32" width="7.5703125" style="4" customWidth="1"/>
    <col min="33" max="16384" width="11.42578125" style="4"/>
  </cols>
  <sheetData>
    <row r="1" spans="1:20" s="157" customFormat="1" ht="20.100000000000001" customHeight="1">
      <c r="A1" s="154" t="str">
        <f>données!A1</f>
        <v>PARC D'ACTIVITES ANGERS MARCE</v>
      </c>
      <c r="B1" s="154"/>
      <c r="C1" s="154"/>
      <c r="D1" s="154"/>
      <c r="E1" s="154"/>
      <c r="F1" s="154"/>
      <c r="G1" s="155"/>
      <c r="H1" s="155"/>
      <c r="I1" s="163"/>
    </row>
    <row r="2" spans="1:20" s="164" customFormat="1" ht="24.75" customHeight="1">
      <c r="A2" s="410" t="str">
        <f>CONCATENATE(IF('bilan HT'!$H$40=0,"PLAN DE TRESORERIE PREVISIONNEL AU ","PLAN DE TRESORERIE PREVISIONNEL REVISE AU "),DAY(dateCRAC),"/",MONTH(dateCRAC),"/",YEAR(dateCRAC))</f>
        <v>PLAN DE TRESORERIE PREVISIONNEL REVISE AU 31/12/2011</v>
      </c>
      <c r="B2" s="410"/>
      <c r="C2" s="410"/>
      <c r="D2" s="410"/>
      <c r="E2" s="410"/>
      <c r="F2" s="410"/>
      <c r="G2" s="410"/>
      <c r="H2" s="410"/>
      <c r="I2" s="324"/>
      <c r="J2" s="324"/>
      <c r="K2" s="324"/>
    </row>
    <row r="3" spans="1:20" ht="20.100000000000001" customHeight="1">
      <c r="A3" s="42"/>
      <c r="B3" s="42"/>
      <c r="C3" s="43"/>
      <c r="D3" s="3"/>
      <c r="E3" s="44"/>
      <c r="F3" s="3"/>
      <c r="H3" s="45"/>
      <c r="I3" s="4"/>
    </row>
    <row r="4" spans="1:20" ht="15" customHeight="1">
      <c r="A4" s="254" t="s">
        <v>1</v>
      </c>
      <c r="B4" s="299"/>
      <c r="C4" s="300" t="str">
        <f>'échéancier HT'!D3</f>
        <v>Réalisé</v>
      </c>
      <c r="D4" s="301" t="str">
        <f>IF('detail bilan HT'!$F$5&gt;(datedépart-2),"","Prévisions")</f>
        <v/>
      </c>
      <c r="E4" s="300" t="str">
        <f>'échéancier HT'!F3</f>
        <v xml:space="preserve"> </v>
      </c>
      <c r="F4" s="300" t="str">
        <f>'échéancier HT'!G3</f>
        <v xml:space="preserve"> </v>
      </c>
      <c r="G4" s="300"/>
      <c r="H4" s="300" t="str">
        <f>'échéancier HT'!I3</f>
        <v>Prévisions</v>
      </c>
      <c r="I4" s="4"/>
    </row>
    <row r="5" spans="1:20">
      <c r="A5" s="257" t="s">
        <v>71</v>
      </c>
      <c r="B5" s="272"/>
      <c r="C5" s="237" t="str">
        <f>'échéancier HT'!D4</f>
        <v>au 31/12</v>
      </c>
      <c r="D5" s="302" t="str">
        <f>IF('detail bilan HT'!$F$5&gt;(datedépart-2),"Prévisions",'detail bilan HT'!$F$5)</f>
        <v>Prévisions</v>
      </c>
      <c r="E5" s="237" t="str">
        <f>'échéancier HT'!F4</f>
        <v xml:space="preserve">Prévisions </v>
      </c>
      <c r="F5" s="237" t="str">
        <f>'échéancier HT'!G4</f>
        <v xml:space="preserve">Prévisions </v>
      </c>
      <c r="G5" s="237" t="str">
        <f>'échéancier HT'!H4</f>
        <v xml:space="preserve">Prévisions </v>
      </c>
      <c r="H5" s="237" t="str">
        <f>'échéancier HT'!I4</f>
        <v>années</v>
      </c>
      <c r="I5" s="4"/>
    </row>
    <row r="6" spans="1:20" ht="15" customHeight="1">
      <c r="A6" s="260"/>
      <c r="B6" s="303" t="str">
        <f>'detail bilan HT'!$C$6</f>
        <v>K€ HT</v>
      </c>
      <c r="C6" s="304">
        <f>'échéancier HT'!D5</f>
        <v>2011</v>
      </c>
      <c r="D6" s="305">
        <f>IF(OR('detail bilan HT'!$F$5&gt;datedépart,'detail bilan HT'!$F$5=datedépart),'detail bilan HT'!$F$5,(datedépart-1))</f>
        <v>2012</v>
      </c>
      <c r="E6" s="304">
        <f>'échéancier HT'!F5</f>
        <v>2013</v>
      </c>
      <c r="F6" s="304">
        <f>'échéancier HT'!G5</f>
        <v>2014</v>
      </c>
      <c r="G6" s="304">
        <f>'échéancier HT'!H5</f>
        <v>2015</v>
      </c>
      <c r="H6" s="241" t="str">
        <f>'échéancier HT'!I5</f>
        <v>suivantes</v>
      </c>
      <c r="I6" s="4"/>
    </row>
    <row r="7" spans="1:20" s="5" customFormat="1" ht="25.15" customHeight="1">
      <c r="A7" s="11" t="s">
        <v>72</v>
      </c>
      <c r="B7" s="12"/>
      <c r="C7" s="10">
        <f>'detail bilan HT'!D246</f>
        <v>4342</v>
      </c>
      <c r="D7" s="10">
        <f>SUM('detail bilan HT'!E246:F246,IF('detail bilan HT'!$G$5&lt;datedépart,'detail bilan HT'!G246,0),IF('detail bilan HT'!$H$5&lt;datedépart,'detail bilan HT'!H246,0),IF('detail bilan HT'!$I$5&lt;datedépart,'detail bilan HT'!I246,0))</f>
        <v>379</v>
      </c>
      <c r="E7" s="10">
        <f>IF(OR('detail bilan HT'!$G$5=datedépart,'detail bilan HT'!$G$5&gt;datedépart),'detail bilan HT'!G246,IF('detail bilan HT'!$H$5=datedépart,'detail bilan HT'!H246,IF('detail bilan HT'!$I$5=datedépart,'detail bilan HT'!I246,IF('detail bilan HT'!$J$5=datedépart,'detail bilan HT'!J246))))</f>
        <v>227</v>
      </c>
      <c r="F7" s="10">
        <f>IF(OR('detail bilan HT'!$G$5=datedépart,'detail bilan HT'!$G$5&gt;datedépart),'detail bilan HT'!H246,IF('detail bilan HT'!$H$5=datedépart,'detail bilan HT'!I246,IF('detail bilan HT'!$I$5=datedépart,'detail bilan HT'!J246,IF('detail bilan HT'!$J$5=datedépart,'detail bilan HT'!K246))))</f>
        <v>192</v>
      </c>
      <c r="G7" s="10">
        <f>IF(OR('detail bilan HT'!$G$5=datedépart,'detail bilan HT'!$G$5&gt;datedépart),'detail bilan HT'!I246,IF('detail bilan HT'!$H$5=datedépart,'detail bilan HT'!J246,IF('detail bilan HT'!$I$5=datedépart,'detail bilan HT'!K246,IF('detail bilan HT'!$J$5=datedépart,'detail bilan HT'!L246))))</f>
        <v>284</v>
      </c>
      <c r="H7" s="10">
        <f>'detail bilan HT'!V246-SUM(C7:G7)</f>
        <v>2076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s="5" customFormat="1" ht="20.45" customHeight="1">
      <c r="A8" s="11"/>
      <c r="B8" s="46" t="s">
        <v>73</v>
      </c>
      <c r="C8" s="10">
        <f>'detail bilan HT'!D251</f>
        <v>0</v>
      </c>
      <c r="D8" s="10">
        <f>SUM('detail bilan HT'!E251:F251,IF('detail bilan HT'!$G$5&lt;datedépart,'detail bilan HT'!G251,0),IF('detail bilan HT'!$H$5&lt;datedépart,'detail bilan HT'!H251,0),IF('detail bilan HT'!$I$5&lt;datedépart,'detail bilan HT'!I251,0))</f>
        <v>0</v>
      </c>
      <c r="E8" s="10">
        <f>IF(OR('detail bilan HT'!$G$5=datedépart,'detail bilan HT'!$G$5&gt;datedépart),'detail bilan HT'!G251,IF('detail bilan HT'!$H$5=datedépart,'detail bilan HT'!H251,IF('detail bilan HT'!$I$5=datedépart,'detail bilan HT'!I251,IF('detail bilan HT'!$J$5=datedépart,'detail bilan HT'!J251))))</f>
        <v>0</v>
      </c>
      <c r="F8" s="10">
        <f>IF(OR('detail bilan HT'!$G$5=datedépart,'detail bilan HT'!$G$5&gt;datedépart),'detail bilan HT'!H251,IF('detail bilan HT'!$H$5=datedépart,'detail bilan HT'!I251,IF('detail bilan HT'!$I$5=datedépart,'detail bilan HT'!J251,IF('detail bilan HT'!$J$5=datedépart,'detail bilan HT'!K251))))</f>
        <v>0</v>
      </c>
      <c r="G8" s="10">
        <f>IF(OR('detail bilan HT'!$G$5=datedépart,'detail bilan HT'!$G$5&gt;datedépart),'detail bilan HT'!I251,IF('detail bilan HT'!$H$5=datedépart,'detail bilan HT'!J251,IF('detail bilan HT'!$I$5=datedépart,'detail bilan HT'!K251,IF('detail bilan HT'!$J$5=datedépart,'detail bilan HT'!L251))))</f>
        <v>0</v>
      </c>
      <c r="H8" s="10">
        <f>'detail bilan HT'!V251-SUM(C8:G8)</f>
        <v>2000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s="49" customFormat="1" ht="19.899999999999999" customHeight="1">
      <c r="A9" s="47"/>
      <c r="B9" s="46" t="s">
        <v>74</v>
      </c>
      <c r="C9" s="10">
        <f>'detail bilan HT'!D261</f>
        <v>0</v>
      </c>
      <c r="D9" s="10">
        <f>SUM('detail bilan HT'!E261:F261,IF('detail bilan HT'!$G$5&lt;datedépart,'detail bilan HT'!G261,0),IF('detail bilan HT'!$H$5&lt;datedépart,'detail bilan HT'!H261,0),IF('detail bilan HT'!$I$5&lt;datedépart,'detail bilan HT'!I261,0))</f>
        <v>0</v>
      </c>
      <c r="E9" s="10">
        <f>IF(OR('detail bilan HT'!$G$5=datedépart,'detail bilan HT'!$G$5&gt;datedépart),'detail bilan HT'!G261,IF('detail bilan HT'!$H$5=datedépart,'detail bilan HT'!H261,IF('detail bilan HT'!$I$5=datedépart,'detail bilan HT'!I261,IF('detail bilan HT'!$J$5=datedépart,'detail bilan HT'!J261))))</f>
        <v>0</v>
      </c>
      <c r="F9" s="10">
        <f>IF(OR('detail bilan HT'!$G$5=datedépart,'detail bilan HT'!$G$5&gt;datedépart),'detail bilan HT'!H261,IF('detail bilan HT'!$H$5=datedépart,'detail bilan HT'!I261,IF('detail bilan HT'!$I$5=datedépart,'detail bilan HT'!J261,IF('detail bilan HT'!$J$5=datedépart,'detail bilan HT'!K261))))</f>
        <v>0</v>
      </c>
      <c r="G9" s="10">
        <f>IF(OR('detail bilan HT'!$G$5=datedépart,'detail bilan HT'!$G$5&gt;datedépart),'detail bilan HT'!I261,IF('detail bilan HT'!$H$5=datedépart,'detail bilan HT'!J261,IF('detail bilan HT'!$I$5=datedépart,'detail bilan HT'!K261,IF('detail bilan HT'!$J$5=datedépart,'detail bilan HT'!L261))))</f>
        <v>0</v>
      </c>
      <c r="H9" s="10">
        <f>'detail bilan HT'!V261-SUM(C9:G9)</f>
        <v>0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20" ht="19.899999999999999" customHeight="1">
      <c r="A10" s="7"/>
      <c r="B10" s="12" t="s">
        <v>163</v>
      </c>
      <c r="C10" s="10">
        <f>'detail bilan HT'!D263</f>
        <v>14</v>
      </c>
      <c r="D10" s="10">
        <f>SUM('detail bilan HT'!E263:F263,IF('detail bilan HT'!$G$5&lt;datedépart,'detail bilan HT'!G263,0),IF('detail bilan HT'!$H$5&lt;datedépart,'detail bilan HT'!H263,0),IF('detail bilan HT'!$I$5&lt;datedépart,'detail bilan HT'!I263,0))</f>
        <v>21</v>
      </c>
      <c r="E10" s="10">
        <f>IF(OR('detail bilan HT'!$G$5=datedépart,'detail bilan HT'!$G$5&gt;datedépart),'detail bilan HT'!G263,IF('detail bilan HT'!$H$5=datedépart,'detail bilan HT'!H263,IF('detail bilan HT'!$I$5=datedépart,'detail bilan HT'!I263,IF('detail bilan HT'!$J$5=datedépart,'detail bilan HT'!J263))))</f>
        <v>0</v>
      </c>
      <c r="F10" s="10">
        <f>IF(OR('detail bilan HT'!$G$5=datedépart,'detail bilan HT'!$G$5&gt;datedépart),'detail bilan HT'!H263,IF('detail bilan HT'!$H$5=datedépart,'detail bilan HT'!I263,IF('detail bilan HT'!$I$5=datedépart,'detail bilan HT'!J263,IF('detail bilan HT'!$J$5=datedépart,'detail bilan HT'!K263))))</f>
        <v>2</v>
      </c>
      <c r="G10" s="10">
        <f>IF(OR('detail bilan HT'!$G$5=datedépart,'detail bilan HT'!$G$5&gt;datedépart),'detail bilan HT'!I263,IF('detail bilan HT'!$H$5=datedépart,'detail bilan HT'!J263,IF('detail bilan HT'!$I$5=datedépart,'detail bilan HT'!K263,IF('detail bilan HT'!$J$5=datedépart,'detail bilan HT'!L263))))</f>
        <v>22</v>
      </c>
      <c r="H10" s="10">
        <f>'detail bilan HT'!V263-SUM(C10:G10)</f>
        <v>291</v>
      </c>
      <c r="I10" s="4"/>
    </row>
    <row r="11" spans="1:20" ht="19.899999999999999" customHeight="1">
      <c r="A11" s="7"/>
      <c r="B11" s="12"/>
      <c r="C11" s="10"/>
      <c r="D11" s="10"/>
      <c r="E11" s="10"/>
      <c r="F11" s="10"/>
      <c r="G11" s="10"/>
      <c r="H11" s="10"/>
      <c r="I11" s="4"/>
    </row>
    <row r="12" spans="1:20" ht="19.899999999999999" customHeight="1">
      <c r="A12" s="7"/>
      <c r="B12" s="8"/>
      <c r="C12" s="20"/>
      <c r="D12" s="20"/>
      <c r="E12" s="20"/>
      <c r="F12" s="20"/>
      <c r="G12" s="20"/>
      <c r="H12" s="20"/>
      <c r="I12" s="4"/>
    </row>
    <row r="13" spans="1:20" s="23" customFormat="1" ht="19.899999999999999" customHeight="1">
      <c r="A13" s="251"/>
      <c r="B13" s="252" t="s">
        <v>75</v>
      </c>
      <c r="C13" s="281">
        <f t="shared" ref="C13:H13" si="0">SUM(C7:C12)</f>
        <v>4356</v>
      </c>
      <c r="D13" s="281">
        <f t="shared" si="0"/>
        <v>400</v>
      </c>
      <c r="E13" s="281">
        <f t="shared" si="0"/>
        <v>227</v>
      </c>
      <c r="F13" s="281">
        <f t="shared" si="0"/>
        <v>194</v>
      </c>
      <c r="G13" s="281">
        <f t="shared" si="0"/>
        <v>306</v>
      </c>
      <c r="H13" s="281">
        <f t="shared" si="0"/>
        <v>4367</v>
      </c>
    </row>
    <row r="14" spans="1:20" customFormat="1" ht="19.899999999999999" customHeight="1"/>
    <row r="15" spans="1:20" ht="15" customHeight="1">
      <c r="A15" s="254" t="s">
        <v>1</v>
      </c>
      <c r="B15" s="299"/>
      <c r="C15" s="300" t="str">
        <f>C4</f>
        <v>Réalisé</v>
      </c>
      <c r="D15" s="301" t="str">
        <f>IF('detail bilan HT'!$F$5&gt;(datedépart-2),"","Prévisions")</f>
        <v/>
      </c>
      <c r="E15" s="246" t="s">
        <v>1</v>
      </c>
      <c r="F15" s="246" t="s">
        <v>1</v>
      </c>
      <c r="G15" s="246"/>
      <c r="H15" s="300" t="str">
        <f>H4</f>
        <v>Prévisions</v>
      </c>
      <c r="I15" s="4"/>
    </row>
    <row r="16" spans="1:20" ht="15" customHeight="1">
      <c r="A16" s="257" t="s">
        <v>76</v>
      </c>
      <c r="B16" s="272"/>
      <c r="C16" s="237" t="str">
        <f>C5</f>
        <v>au 31/12</v>
      </c>
      <c r="D16" s="302" t="str">
        <f>IF('detail bilan HT'!$F$5&gt;(datedépart-2),"Prévisions",'detail bilan HT'!$F$5)</f>
        <v>Prévisions</v>
      </c>
      <c r="E16" s="237" t="str">
        <f t="shared" ref="E16:G17" si="1">E5</f>
        <v xml:space="preserve">Prévisions </v>
      </c>
      <c r="F16" s="237" t="str">
        <f t="shared" si="1"/>
        <v xml:space="preserve">Prévisions </v>
      </c>
      <c r="G16" s="237" t="str">
        <f t="shared" si="1"/>
        <v xml:space="preserve">Prévisions </v>
      </c>
      <c r="H16" s="237" t="str">
        <f>H5</f>
        <v>années</v>
      </c>
      <c r="I16" s="4"/>
    </row>
    <row r="17" spans="1:17" ht="15" customHeight="1">
      <c r="A17" s="260"/>
      <c r="B17" s="303" t="str">
        <f>'detail bilan HT'!$C$6</f>
        <v>K€ HT</v>
      </c>
      <c r="C17" s="304">
        <f>C6</f>
        <v>2011</v>
      </c>
      <c r="D17" s="305">
        <f>IF(OR('detail bilan HT'!$F$5&gt;datedépart,'detail bilan HT'!$F$5=datedépart),'detail bilan HT'!$F$5,(datedépart-1))</f>
        <v>2012</v>
      </c>
      <c r="E17" s="305">
        <f t="shared" si="1"/>
        <v>2013</v>
      </c>
      <c r="F17" s="305">
        <f t="shared" si="1"/>
        <v>2014</v>
      </c>
      <c r="G17" s="305">
        <f t="shared" si="1"/>
        <v>2015</v>
      </c>
      <c r="H17" s="305" t="str">
        <f>H6</f>
        <v>suivantes</v>
      </c>
      <c r="I17" s="4"/>
    </row>
    <row r="18" spans="1:17" ht="25.15" customHeight="1">
      <c r="A18" s="11" t="s">
        <v>77</v>
      </c>
      <c r="B18" s="12"/>
      <c r="C18" s="10">
        <f>'detail bilan HT'!D270</f>
        <v>0</v>
      </c>
      <c r="D18" s="10">
        <f>SUM('detail bilan HT'!E270:F270,IF('detail bilan HT'!$G$5&lt;datedépart,'detail bilan HT'!G270,0),IF('detail bilan HT'!$H$5&lt;datedépart,'detail bilan HT'!H270,0),IF('detail bilan HT'!$I$5&lt;datedépart,'detail bilan HT'!I270,0))</f>
        <v>0</v>
      </c>
      <c r="E18" s="10">
        <f>IF(OR('detail bilan HT'!$G$5=datedépart,'detail bilan HT'!$G$5&gt;datedépart),'detail bilan HT'!G270,IF('detail bilan HT'!$H$5=datedépart,'detail bilan HT'!H270,IF('detail bilan HT'!$I$5=datedépart,'detail bilan HT'!I270,IF('detail bilan HT'!$J$5=datedépart,'detail bilan HT'!J270))))</f>
        <v>840</v>
      </c>
      <c r="F18" s="10">
        <f>IF(OR('detail bilan HT'!$G$5=datedépart,'detail bilan HT'!$G$5&gt;datedépart),'detail bilan HT'!H270,IF('detail bilan HT'!$H$5=datedépart,'detail bilan HT'!I270,IF('detail bilan HT'!$I$5=datedépart,'detail bilan HT'!J270,IF('detail bilan HT'!$J$5=datedépart,'detail bilan HT'!K270))))</f>
        <v>740</v>
      </c>
      <c r="G18" s="10">
        <f>IF(OR('detail bilan HT'!$G$5=datedépart,'detail bilan HT'!$G$5&gt;datedépart),'detail bilan HT'!I270,IF('detail bilan HT'!$H$5=datedépart,'detail bilan HT'!J270,IF('detail bilan HT'!$I$5=datedépart,'detail bilan HT'!K270,IF('detail bilan HT'!$J$5=datedépart,'detail bilan HT'!L270))))</f>
        <v>740</v>
      </c>
      <c r="H18" s="10">
        <f>'detail bilan HT'!V270-SUM(C18:G18)</f>
        <v>5180</v>
      </c>
    </row>
    <row r="19" spans="1:17" ht="19.899999999999999" customHeight="1">
      <c r="A19" s="11"/>
      <c r="B19" s="46" t="s">
        <v>78</v>
      </c>
      <c r="C19" s="10">
        <f>'detail bilan HT'!D275</f>
        <v>0</v>
      </c>
      <c r="D19" s="10">
        <f>SUM('detail bilan HT'!E275:F275,IF('detail bilan HT'!$G$5&lt;datedépart,'detail bilan HT'!G275,0),IF('detail bilan HT'!$H$5&lt;datedépart,'detail bilan HT'!H275,0),IF('detail bilan HT'!$I$5&lt;datedépart,'detail bilan HT'!I275,0))</f>
        <v>2000</v>
      </c>
      <c r="E19" s="10">
        <f>IF(OR('detail bilan HT'!$G$5=datedépart,'detail bilan HT'!$G$5&gt;datedépart),'detail bilan HT'!G275,IF('detail bilan HT'!$H$5=datedépart,'detail bilan HT'!H275,IF('detail bilan HT'!$I$5=datedépart,'detail bilan HT'!I275,IF('detail bilan HT'!$J$5=datedépart,'detail bilan HT'!J275))))</f>
        <v>0</v>
      </c>
      <c r="F19" s="10">
        <f>IF(OR('detail bilan HT'!$G$5=datedépart,'detail bilan HT'!$G$5&gt;datedépart),'detail bilan HT'!H275,IF('detail bilan HT'!$H$5=datedépart,'detail bilan HT'!I275,IF('detail bilan HT'!$I$5=datedépart,'detail bilan HT'!J275,IF('detail bilan HT'!$J$5=datedépart,'detail bilan HT'!K275))))</f>
        <v>0</v>
      </c>
      <c r="G19" s="10">
        <f>IF(OR('detail bilan HT'!$G$5=datedépart,'detail bilan HT'!$G$5&gt;datedépart),'detail bilan HT'!I275,IF('detail bilan HT'!$H$5=datedépart,'detail bilan HT'!J275,IF('detail bilan HT'!$I$5=datedépart,'detail bilan HT'!K275,IF('detail bilan HT'!$J$5=datedépart,'detail bilan HT'!L275))))</f>
        <v>0</v>
      </c>
      <c r="H19" s="10">
        <f>'detail bilan HT'!V275-SUM(C19:G19)</f>
        <v>0</v>
      </c>
    </row>
    <row r="20" spans="1:17" ht="19.899999999999999" customHeight="1">
      <c r="A20" s="47"/>
      <c r="B20" s="46" t="s">
        <v>81</v>
      </c>
      <c r="C20" s="10">
        <f>'detail bilan HT'!D285</f>
        <v>0</v>
      </c>
      <c r="D20" s="10">
        <f>SUM('detail bilan HT'!E285:F285,IF('detail bilan HT'!$G$5&lt;datedépart,'detail bilan HT'!G285,0),IF('detail bilan HT'!$H$5&lt;datedépart,'detail bilan HT'!H285,0),IF('detail bilan HT'!$I$5&lt;datedépart,'detail bilan HT'!I285,0))</f>
        <v>0</v>
      </c>
      <c r="E20" s="10">
        <f>IF(OR('detail bilan HT'!$G$5=datedépart,'detail bilan HT'!$G$5&gt;datedépart),'detail bilan HT'!G285,IF('detail bilan HT'!$H$5=datedépart,'detail bilan HT'!H285,IF('detail bilan HT'!$I$5=datedépart,'detail bilan HT'!I285,IF('detail bilan HT'!$J$5=datedépart,'detail bilan HT'!J285))))</f>
        <v>0</v>
      </c>
      <c r="F20" s="10">
        <f>IF(OR('detail bilan HT'!$G$5=datedépart,'detail bilan HT'!$G$5&gt;datedépart),'detail bilan HT'!H285,IF('detail bilan HT'!$H$5=datedépart,'detail bilan HT'!I285,IF('detail bilan HT'!$I$5=datedépart,'detail bilan HT'!J285,IF('detail bilan HT'!$J$5=datedépart,'detail bilan HT'!K285))))</f>
        <v>0</v>
      </c>
      <c r="G20" s="10">
        <f>IF(OR('detail bilan HT'!$G$5=datedépart,'detail bilan HT'!$G$5&gt;datedépart),'detail bilan HT'!I285,IF('detail bilan HT'!$H$5=datedépart,'detail bilan HT'!J285,IF('detail bilan HT'!$I$5=datedépart,'detail bilan HT'!K285,IF('detail bilan HT'!$J$5=datedépart,'detail bilan HT'!L285))))</f>
        <v>0</v>
      </c>
      <c r="H20" s="10">
        <f>'detail bilan HT'!V285-SUM(C20:G20)</f>
        <v>0</v>
      </c>
    </row>
    <row r="21" spans="1:17" ht="19.899999999999999" customHeight="1">
      <c r="A21" s="17"/>
      <c r="B21" s="30" t="s">
        <v>164</v>
      </c>
      <c r="C21" s="10">
        <f>'detail bilan HT'!D287</f>
        <v>0</v>
      </c>
      <c r="D21" s="10">
        <f>SUM('detail bilan HT'!E287:F287,IF('detail bilan HT'!$G$5&lt;datedépart,'detail bilan HT'!G287,0),IF('detail bilan HT'!$H$5&lt;datedépart,'detail bilan HT'!H287,0),IF('detail bilan HT'!$I$5&lt;datedépart,'detail bilan HT'!I287,0))</f>
        <v>0</v>
      </c>
      <c r="E21" s="10">
        <f>IF(OR('detail bilan HT'!$G$5=datedépart,'detail bilan HT'!$G$5&gt;datedépart),'detail bilan HT'!G287,IF('detail bilan HT'!$H$5=datedépart,'detail bilan HT'!H287,IF('detail bilan HT'!$I$5=datedépart,'detail bilan HT'!I287,IF('detail bilan HT'!$J$5=datedépart,'detail bilan HT'!J287))))</f>
        <v>26</v>
      </c>
      <c r="F21" s="10">
        <f>IF(OR('detail bilan HT'!$G$5=datedépart,'detail bilan HT'!$G$5&gt;datedépart),'detail bilan HT'!H287,IF('detail bilan HT'!$H$5=datedépart,'detail bilan HT'!I287,IF('detail bilan HT'!$I$5=datedépart,'detail bilan HT'!J287,IF('detail bilan HT'!$J$5=datedépart,'detail bilan HT'!K287))))</f>
        <v>0</v>
      </c>
      <c r="G21" s="10">
        <f>IF(OR('detail bilan HT'!$G$5=datedépart,'detail bilan HT'!$G$5&gt;datedépart),'detail bilan HT'!I287,IF('detail bilan HT'!$H$5=datedépart,'detail bilan HT'!J287,IF('detail bilan HT'!$I$5=datedépart,'detail bilan HT'!K287,IF('detail bilan HT'!$J$5=datedépart,'detail bilan HT'!L287))))</f>
        <v>0</v>
      </c>
      <c r="H21" s="10">
        <f>'detail bilan HT'!V287-SUM(C21:G21)</f>
        <v>324</v>
      </c>
    </row>
    <row r="22" spans="1:17" ht="19.899999999999999" customHeight="1">
      <c r="A22" s="17"/>
      <c r="B22" s="30"/>
      <c r="C22" s="10"/>
      <c r="D22" s="10"/>
      <c r="E22" s="10"/>
      <c r="F22" s="10"/>
      <c r="G22" s="10"/>
      <c r="H22" s="10"/>
    </row>
    <row r="23" spans="1:17" s="12" customFormat="1" ht="19.899999999999999" customHeight="1">
      <c r="A23" s="18"/>
      <c r="B23" s="19"/>
      <c r="C23" s="20"/>
      <c r="D23" s="20"/>
      <c r="E23" s="20"/>
      <c r="F23" s="20"/>
      <c r="G23" s="20"/>
      <c r="H23" s="20"/>
      <c r="I23" s="30"/>
      <c r="K23" s="52"/>
      <c r="O23" s="30"/>
      <c r="P23" s="30"/>
      <c r="Q23" s="30"/>
    </row>
    <row r="24" spans="1:17" s="23" customFormat="1" ht="19.899999999999999" customHeight="1">
      <c r="A24" s="251"/>
      <c r="B24" s="253" t="s">
        <v>82</v>
      </c>
      <c r="C24" s="281">
        <f t="shared" ref="C24:H24" si="2">SUM(C18:C23)</f>
        <v>0</v>
      </c>
      <c r="D24" s="281">
        <f t="shared" si="2"/>
        <v>2000</v>
      </c>
      <c r="E24" s="281">
        <f t="shared" si="2"/>
        <v>866</v>
      </c>
      <c r="F24" s="281">
        <f t="shared" si="2"/>
        <v>740</v>
      </c>
      <c r="G24" s="281">
        <f t="shared" si="2"/>
        <v>740</v>
      </c>
      <c r="H24" s="281">
        <f t="shared" si="2"/>
        <v>5504</v>
      </c>
      <c r="I24" s="41"/>
      <c r="K24" s="41"/>
      <c r="O24" s="41"/>
      <c r="P24" s="41"/>
      <c r="Q24" s="41"/>
    </row>
    <row r="25" spans="1:17" ht="19.899999999999999" customHeight="1">
      <c r="G25" s="4"/>
      <c r="H25" s="4"/>
      <c r="I25" s="4"/>
      <c r="K25" s="5"/>
      <c r="O25" s="5"/>
      <c r="P25" s="5"/>
      <c r="Q25" s="5"/>
    </row>
    <row r="26" spans="1:17" s="23" customFormat="1" ht="19.899999999999999" customHeight="1">
      <c r="A26" s="53"/>
      <c r="B26" s="54" t="s">
        <v>83</v>
      </c>
      <c r="C26" s="55">
        <f t="shared" ref="C26:H26" si="3">SUM(C24,-C13)</f>
        <v>-4356</v>
      </c>
      <c r="D26" s="55">
        <f t="shared" si="3"/>
        <v>1600</v>
      </c>
      <c r="E26" s="55">
        <f t="shared" si="3"/>
        <v>639</v>
      </c>
      <c r="F26" s="55">
        <f t="shared" si="3"/>
        <v>546</v>
      </c>
      <c r="G26" s="55">
        <f t="shared" si="3"/>
        <v>434</v>
      </c>
      <c r="H26" s="55">
        <f t="shared" si="3"/>
        <v>1137</v>
      </c>
    </row>
    <row r="27" spans="1:17" s="23" customFormat="1" ht="19.899999999999999" customHeight="1">
      <c r="A27" s="56"/>
      <c r="B27" s="57"/>
      <c r="C27" s="58"/>
      <c r="D27" s="58"/>
      <c r="E27" s="58"/>
      <c r="F27" s="58"/>
      <c r="G27" s="59"/>
      <c r="H27" s="60"/>
    </row>
    <row r="28" spans="1:17" s="23" customFormat="1" ht="19.899999999999999" customHeight="1">
      <c r="A28" s="306"/>
      <c r="B28" s="307" t="s">
        <v>84</v>
      </c>
      <c r="C28" s="245">
        <f>C26</f>
        <v>-4356</v>
      </c>
      <c r="D28" s="245">
        <f>C28+D26</f>
        <v>-2756</v>
      </c>
      <c r="E28" s="245">
        <f>D28+E26</f>
        <v>-2117</v>
      </c>
      <c r="F28" s="245">
        <f>E28+F26</f>
        <v>-1571</v>
      </c>
      <c r="G28" s="245">
        <f>F28+G26</f>
        <v>-1137</v>
      </c>
      <c r="H28" s="245">
        <f>G28+H26</f>
        <v>0</v>
      </c>
    </row>
    <row r="29" spans="1:17" ht="19.899999999999999" customHeight="1">
      <c r="A29" s="50"/>
      <c r="B29" s="50"/>
      <c r="C29" s="51"/>
      <c r="D29" s="51"/>
      <c r="E29" s="51"/>
      <c r="H29" s="4"/>
      <c r="I29" s="4"/>
    </row>
    <row r="30" spans="1:17" ht="19.899999999999999" customHeight="1">
      <c r="A30" s="50"/>
      <c r="B30" s="50"/>
      <c r="C30" s="51"/>
      <c r="D30" s="51"/>
      <c r="E30" s="51"/>
      <c r="G30" s="4"/>
      <c r="H30" s="4"/>
      <c r="I30" s="4"/>
    </row>
    <row r="31" spans="1:17" ht="19.899999999999999" customHeight="1">
      <c r="A31" s="50"/>
      <c r="B31" s="50"/>
      <c r="C31" s="51"/>
      <c r="D31" s="51"/>
      <c r="E31" s="51"/>
      <c r="F31" s="61"/>
      <c r="G31" s="61"/>
      <c r="H31" s="61"/>
      <c r="I31" s="61"/>
    </row>
    <row r="32" spans="1:17" ht="19.899999999999999" customHeight="1">
      <c r="A32" s="50"/>
      <c r="B32" s="50"/>
      <c r="C32" s="51"/>
      <c r="D32" s="51"/>
      <c r="E32" s="51"/>
      <c r="F32" s="61"/>
      <c r="G32" s="61"/>
      <c r="H32" s="61"/>
      <c r="I32" s="61"/>
    </row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</sheetData>
  <sheetProtection password="CB8E" sheet="1" objects="1" scenarios="1"/>
  <mergeCells count="1">
    <mergeCell ref="A2:H2"/>
  </mergeCells>
  <phoneticPr fontId="0" type="noConversion"/>
  <printOptions horizontalCentered="1"/>
  <pageMargins left="0" right="0" top="0.59055118110236227" bottom="0" header="0" footer="0"/>
  <pageSetup paperSize="9" orientation="portrait" r:id="rId1"/>
  <headerFooter alignWithMargins="0">
    <oddHeader xml:space="preserve">&amp;R&amp;"Bookman Old Style,Italique gras"
</oddHeader>
    <oddFooter>&amp;R&amp;"Times New Roman,Gras Italique"&amp;8SODEMEL -&amp;D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0"/>
  <sheetViews>
    <sheetView workbookViewId="0">
      <selection activeCell="E21" sqref="E21"/>
    </sheetView>
  </sheetViews>
  <sheetFormatPr baseColWidth="10" defaultRowHeight="12.75" outlineLevelCol="1"/>
  <cols>
    <col min="1" max="1" width="3" style="69" customWidth="1"/>
    <col min="2" max="2" width="30.28515625" style="69" customWidth="1"/>
    <col min="3" max="3" width="7.5703125" style="69" customWidth="1"/>
    <col min="4" max="7" width="10.7109375" style="69" customWidth="1"/>
    <col min="8" max="8" width="10.7109375" style="67" customWidth="1"/>
    <col min="9" max="9" width="10.7109375" style="67" customWidth="1" outlineLevel="1"/>
    <col min="10" max="10" width="7" style="69" customWidth="1" outlineLevel="1"/>
    <col min="11" max="12" width="10.7109375" style="69" customWidth="1" outlineLevel="1"/>
    <col min="13" max="14" width="7.7109375" style="69" customWidth="1"/>
    <col min="15" max="24" width="7.5703125" style="69" customWidth="1"/>
    <col min="25" max="16384" width="11.42578125" style="69"/>
  </cols>
  <sheetData>
    <row r="1" spans="1:12" s="186" customFormat="1" ht="15" customHeight="1">
      <c r="A1" s="411" t="s">
        <v>246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</row>
    <row r="2" spans="1:12" s="186" customFormat="1" ht="15" customHeight="1">
      <c r="A2" s="310"/>
      <c r="B2" s="156"/>
      <c r="C2" s="156"/>
      <c r="D2" s="156"/>
      <c r="E2" s="156"/>
      <c r="F2" s="156"/>
      <c r="G2" s="156"/>
      <c r="H2" s="184"/>
      <c r="I2" s="184"/>
      <c r="J2" s="185"/>
      <c r="K2" s="185"/>
      <c r="L2" s="185"/>
    </row>
    <row r="3" spans="1:12" ht="15" customHeight="1">
      <c r="A3" s="134" t="s">
        <v>130</v>
      </c>
      <c r="F3" s="196">
        <v>39446</v>
      </c>
    </row>
    <row r="4" spans="1:12" ht="15" customHeight="1">
      <c r="A4" s="134"/>
      <c r="G4" s="196"/>
    </row>
    <row r="5" spans="1:12" ht="15" customHeight="1">
      <c r="A5" s="412" t="s">
        <v>157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1:12" ht="15" customHeight="1">
      <c r="A6" s="134"/>
      <c r="G6" s="196"/>
    </row>
    <row r="7" spans="1:12" ht="14.25" customHeight="1">
      <c r="A7" s="6"/>
      <c r="B7" s="63">
        <f ca="1">NOW()</f>
        <v>39819.613513078701</v>
      </c>
      <c r="C7" s="64" t="s">
        <v>0</v>
      </c>
      <c r="D7" s="148">
        <v>0.19600000000000001</v>
      </c>
      <c r="E7" s="6"/>
      <c r="F7" s="65"/>
      <c r="G7" s="149" t="s">
        <v>245</v>
      </c>
      <c r="I7" s="68"/>
      <c r="J7" s="68"/>
      <c r="K7" s="68"/>
      <c r="L7" s="68"/>
    </row>
    <row r="8" spans="1:12" s="4" customFormat="1" ht="15" customHeight="1">
      <c r="H8" s="5"/>
      <c r="I8" s="5"/>
      <c r="J8" s="5"/>
      <c r="K8" s="5"/>
      <c r="L8" s="5"/>
    </row>
    <row r="9" spans="1:12" s="117" customFormat="1" ht="15" customHeight="1">
      <c r="B9" s="117" t="s">
        <v>85</v>
      </c>
      <c r="C9" s="6"/>
      <c r="D9" s="118" t="s">
        <v>86</v>
      </c>
      <c r="E9" s="118" t="s">
        <v>87</v>
      </c>
      <c r="F9" s="119" t="s">
        <v>88</v>
      </c>
      <c r="G9" s="138" t="s">
        <v>89</v>
      </c>
      <c r="H9" s="119" t="s">
        <v>90</v>
      </c>
      <c r="I9" s="118" t="s">
        <v>91</v>
      </c>
    </row>
    <row r="10" spans="1:12" s="120" customFormat="1" ht="15">
      <c r="B10" s="150" t="s">
        <v>93</v>
      </c>
      <c r="C10" s="404"/>
      <c r="D10" s="347">
        <v>39081</v>
      </c>
      <c r="E10" s="126">
        <v>0</v>
      </c>
      <c r="F10" s="127">
        <v>0</v>
      </c>
      <c r="G10" s="127">
        <f t="shared" ref="G10:G15" si="0">F10</f>
        <v>0</v>
      </c>
      <c r="H10" s="128">
        <v>0</v>
      </c>
      <c r="I10" s="128">
        <v>0</v>
      </c>
      <c r="J10" s="24" t="s">
        <v>92</v>
      </c>
      <c r="K10" s="120" t="s">
        <v>158</v>
      </c>
    </row>
    <row r="11" spans="1:12" s="120" customFormat="1" ht="15">
      <c r="B11" s="150" t="s">
        <v>95</v>
      </c>
      <c r="C11" s="404"/>
      <c r="D11" s="347">
        <v>39082</v>
      </c>
      <c r="E11" s="126">
        <v>0</v>
      </c>
      <c r="F11" s="127">
        <v>0</v>
      </c>
      <c r="G11" s="127">
        <f>F11</f>
        <v>0</v>
      </c>
      <c r="H11" s="128">
        <v>0</v>
      </c>
      <c r="I11" s="128">
        <v>0</v>
      </c>
      <c r="K11" s="120" t="s">
        <v>159</v>
      </c>
    </row>
    <row r="12" spans="1:12" s="120" customFormat="1" ht="15">
      <c r="B12" s="150" t="s">
        <v>98</v>
      </c>
      <c r="C12" s="404"/>
      <c r="D12" s="347">
        <v>39083</v>
      </c>
      <c r="E12" s="126">
        <v>0</v>
      </c>
      <c r="F12" s="127">
        <v>0</v>
      </c>
      <c r="G12" s="127">
        <f t="shared" si="0"/>
        <v>0</v>
      </c>
      <c r="H12" s="128">
        <v>0</v>
      </c>
      <c r="I12" s="128">
        <v>0</v>
      </c>
      <c r="J12" s="24" t="s">
        <v>94</v>
      </c>
      <c r="K12" s="120" t="s">
        <v>160</v>
      </c>
    </row>
    <row r="13" spans="1:12" s="120" customFormat="1" ht="15">
      <c r="B13" s="150" t="s">
        <v>99</v>
      </c>
      <c r="C13" s="404"/>
      <c r="D13" s="347">
        <v>39084</v>
      </c>
      <c r="E13" s="126">
        <v>0</v>
      </c>
      <c r="F13" s="127">
        <v>0</v>
      </c>
      <c r="G13" s="127">
        <f t="shared" si="0"/>
        <v>0</v>
      </c>
      <c r="H13" s="128">
        <v>0</v>
      </c>
      <c r="I13" s="128">
        <v>0</v>
      </c>
      <c r="J13" s="24" t="s">
        <v>96</v>
      </c>
      <c r="K13" s="120" t="s">
        <v>97</v>
      </c>
    </row>
    <row r="14" spans="1:12" s="120" customFormat="1" ht="15">
      <c r="B14" s="150" t="s">
        <v>179</v>
      </c>
      <c r="C14" s="404"/>
      <c r="D14" s="347">
        <v>39085</v>
      </c>
      <c r="E14" s="126">
        <v>0</v>
      </c>
      <c r="F14" s="127">
        <v>0</v>
      </c>
      <c r="G14" s="127">
        <f>F14</f>
        <v>0</v>
      </c>
      <c r="H14" s="128">
        <v>0</v>
      </c>
      <c r="I14" s="128">
        <v>0</v>
      </c>
      <c r="J14" s="24"/>
    </row>
    <row r="15" spans="1:12" s="120" customFormat="1" ht="15">
      <c r="B15" s="150" t="s">
        <v>180</v>
      </c>
      <c r="C15" s="404"/>
      <c r="D15" s="347">
        <v>39086</v>
      </c>
      <c r="E15" s="126">
        <v>0</v>
      </c>
      <c r="F15" s="127">
        <v>0</v>
      </c>
      <c r="G15" s="127">
        <f t="shared" si="0"/>
        <v>0</v>
      </c>
      <c r="H15" s="128">
        <v>0</v>
      </c>
      <c r="I15" s="128">
        <v>0</v>
      </c>
      <c r="J15" s="24"/>
    </row>
    <row r="16" spans="1:12" s="120" customFormat="1" ht="15">
      <c r="B16" s="150" t="s">
        <v>243</v>
      </c>
      <c r="C16" s="404"/>
      <c r="D16" s="347">
        <v>39085</v>
      </c>
      <c r="E16" s="126">
        <v>0</v>
      </c>
      <c r="F16" s="127">
        <v>0</v>
      </c>
      <c r="G16" s="127">
        <f>F16</f>
        <v>0</v>
      </c>
      <c r="H16" s="128">
        <v>0</v>
      </c>
      <c r="I16" s="128">
        <v>0</v>
      </c>
      <c r="J16" s="24"/>
    </row>
    <row r="17" spans="2:12" s="120" customFormat="1" ht="15">
      <c r="B17" s="150" t="s">
        <v>244</v>
      </c>
      <c r="C17" s="404"/>
      <c r="D17" s="347">
        <v>39086</v>
      </c>
      <c r="E17" s="126">
        <v>0</v>
      </c>
      <c r="F17" s="127">
        <v>0</v>
      </c>
      <c r="G17" s="127">
        <f>F17</f>
        <v>0</v>
      </c>
      <c r="H17" s="128">
        <v>0</v>
      </c>
      <c r="I17" s="128">
        <v>0</v>
      </c>
      <c r="J17" s="24"/>
    </row>
    <row r="18" spans="2:12" s="4" customFormat="1" ht="20.100000000000001" customHeight="1">
      <c r="B18" s="312" t="str">
        <f>IF(OR(COUNTIF(F10:G10,"&gt;0")=1,COUNTIF(F11:G11,"&gt;0")=1,COUNTIF(F12:G12,"&gt;0")=1,COUNTIF(F13:G13,"&gt;0")=1),"taux et taux révisé doivent obligatoirement être renseignés ; si taux fixe, remplir taux revisé=taux","")</f>
        <v/>
      </c>
      <c r="G18" s="122"/>
      <c r="H18" s="122"/>
      <c r="I18" s="5"/>
    </row>
    <row r="19" spans="2:12" s="4" customFormat="1" ht="15">
      <c r="B19" s="117" t="s">
        <v>100</v>
      </c>
      <c r="G19" s="151"/>
      <c r="H19" s="152"/>
      <c r="I19" s="152"/>
      <c r="J19" s="151"/>
      <c r="K19" s="151"/>
      <c r="L19" s="151"/>
    </row>
    <row r="20" spans="2:12" s="4" customFormat="1" ht="15">
      <c r="B20" s="121" t="s">
        <v>101</v>
      </c>
      <c r="D20"/>
      <c r="E20" s="131">
        <v>0</v>
      </c>
      <c r="F20" s="121" t="str">
        <f>IF('detail bilan HT'!$C$6="KF HT","KF","K€")</f>
        <v>K€</v>
      </c>
      <c r="G20" s="151"/>
      <c r="H20" s="152"/>
      <c r="I20" s="152"/>
      <c r="J20" s="151"/>
      <c r="K20" s="151"/>
      <c r="L20" s="151"/>
    </row>
    <row r="21" spans="2:12" s="4" customFormat="1" ht="15">
      <c r="B21" s="121" t="s">
        <v>102</v>
      </c>
      <c r="D21"/>
      <c r="E21" s="131">
        <v>0</v>
      </c>
      <c r="F21" s="121" t="str">
        <f>CONCATENATE(IF('detail bilan HT'!$C$6="KF HT","KF","K€"),"(ajouté au calcul)")</f>
        <v>K€(ajouté au calcul)</v>
      </c>
      <c r="G21" s="151"/>
      <c r="H21" s="152"/>
      <c r="I21" s="152"/>
      <c r="J21" s="151"/>
      <c r="K21" s="151"/>
      <c r="L21" s="151"/>
    </row>
    <row r="22" spans="2:12" s="4" customFormat="1" ht="15">
      <c r="B22" s="121" t="s">
        <v>103</v>
      </c>
      <c r="E22" s="168">
        <v>2025</v>
      </c>
      <c r="F22" s="151"/>
      <c r="G22" s="151"/>
      <c r="H22" s="152"/>
      <c r="I22" s="152"/>
      <c r="J22" s="151"/>
      <c r="K22" s="151"/>
      <c r="L22" s="151"/>
    </row>
    <row r="23" spans="2:12" s="4" customFormat="1" ht="15">
      <c r="B23" s="121" t="s">
        <v>165</v>
      </c>
      <c r="D23"/>
      <c r="E23" s="131">
        <v>0</v>
      </c>
      <c r="F23" s="121" t="str">
        <f>IF('detail bilan HT'!$C$6="KF HT","KF","K€")</f>
        <v>K€</v>
      </c>
      <c r="G23" s="151"/>
      <c r="H23" s="152"/>
      <c r="I23" s="152"/>
      <c r="J23" s="151"/>
      <c r="K23" s="151"/>
      <c r="L23" s="151"/>
    </row>
    <row r="24" spans="2:12" s="151" customFormat="1" ht="20.100000000000001" customHeight="1">
      <c r="H24" s="152"/>
      <c r="I24" s="152"/>
    </row>
    <row r="25" spans="2:12" s="151" customFormat="1" ht="20.25">
      <c r="B25" s="117" t="s">
        <v>104</v>
      </c>
      <c r="D25" s="308" t="str">
        <f>IF(Surfaceop=0,"surface de l'opération à indiquer impérativement!","")</f>
        <v/>
      </c>
      <c r="H25" s="152"/>
      <c r="I25" s="152"/>
    </row>
    <row r="26" spans="2:12" s="151" customFormat="1" ht="15">
      <c r="B26" s="121" t="s">
        <v>105</v>
      </c>
      <c r="E26" s="131">
        <v>870000</v>
      </c>
      <c r="F26" s="121" t="s">
        <v>106</v>
      </c>
      <c r="H26" s="152"/>
      <c r="I26" s="152"/>
    </row>
    <row r="27" spans="2:12" s="151" customFormat="1" ht="15">
      <c r="B27" s="121" t="s">
        <v>107</v>
      </c>
      <c r="E27" s="179">
        <f>IF(Surfaceop=0,0,'detail bilan HT'!V12*1000/Surfaceop)</f>
        <v>1.29</v>
      </c>
      <c r="F27" s="121" t="str">
        <f>CONCATENATE(IF('detail bilan HT'!$C$6="KF HT","KF","K€"),"/m²")</f>
        <v>K€/m²</v>
      </c>
      <c r="H27" s="152"/>
      <c r="I27" s="152"/>
    </row>
    <row r="28" spans="2:12" s="151" customFormat="1" ht="20.100000000000001" customHeight="1">
      <c r="B28" s="121"/>
      <c r="E28" s="179"/>
      <c r="F28" s="121"/>
      <c r="H28" s="152"/>
      <c r="I28" s="152"/>
    </row>
    <row r="29" spans="2:12" s="151" customFormat="1" ht="15">
      <c r="B29" s="117" t="s">
        <v>128</v>
      </c>
      <c r="D29" s="206" t="s">
        <v>129</v>
      </c>
      <c r="E29" s="168">
        <v>2010</v>
      </c>
      <c r="F29" s="207" t="str">
        <f>CONCATENATE("obligatoirement &lt;",'detail bilan HT'!K5)</f>
        <v>obligatoirement &lt;2017</v>
      </c>
      <c r="H29" s="152"/>
      <c r="I29" s="152"/>
    </row>
    <row r="30" spans="2:12" s="151" customFormat="1" ht="15">
      <c r="H30" s="152"/>
      <c r="I30" s="152"/>
    </row>
    <row r="31" spans="2:12" s="151" customFormat="1" ht="15">
      <c r="B31" s="117" t="s">
        <v>161</v>
      </c>
      <c r="D31" s="393"/>
      <c r="E31" s="394"/>
      <c r="H31" s="152"/>
      <c r="I31" s="152"/>
    </row>
    <row r="32" spans="2:12" s="151" customFormat="1" ht="15">
      <c r="C32" s="395"/>
      <c r="D32" s="393"/>
      <c r="E32" s="394"/>
      <c r="H32" s="152"/>
      <c r="I32" s="152"/>
    </row>
    <row r="33" spans="2:9" s="151" customFormat="1" ht="15">
      <c r="B33" s="151" t="s">
        <v>1</v>
      </c>
      <c r="H33" s="152"/>
      <c r="I33" s="152"/>
    </row>
    <row r="34" spans="2:9" s="151" customFormat="1" ht="15">
      <c r="H34" s="152"/>
      <c r="I34" s="152"/>
    </row>
    <row r="35" spans="2:9" s="151" customFormat="1" ht="15">
      <c r="H35" s="152"/>
      <c r="I35" s="152"/>
    </row>
    <row r="36" spans="2:9" s="151" customFormat="1" ht="15">
      <c r="H36" s="152"/>
      <c r="I36" s="152"/>
    </row>
    <row r="37" spans="2:9" s="151" customFormat="1" ht="15">
      <c r="H37" s="152"/>
      <c r="I37" s="152"/>
    </row>
    <row r="38" spans="2:9" s="151" customFormat="1" ht="15">
      <c r="H38" s="152"/>
      <c r="I38" s="152"/>
    </row>
    <row r="39" spans="2:9" s="151" customFormat="1" ht="15">
      <c r="H39" s="152"/>
      <c r="I39" s="152"/>
    </row>
    <row r="40" spans="2:9" s="151" customFormat="1" ht="15">
      <c r="H40" s="152"/>
      <c r="I40" s="152"/>
    </row>
    <row r="41" spans="2:9" s="151" customFormat="1" ht="15">
      <c r="H41" s="152"/>
      <c r="I41" s="152"/>
    </row>
    <row r="42" spans="2:9" s="151" customFormat="1" ht="15">
      <c r="H42" s="152"/>
      <c r="I42" s="152"/>
    </row>
    <row r="43" spans="2:9" s="151" customFormat="1" ht="15">
      <c r="H43" s="152"/>
      <c r="I43" s="152"/>
    </row>
    <row r="44" spans="2:9" s="151" customFormat="1" ht="15">
      <c r="H44" s="152"/>
      <c r="I44" s="152"/>
    </row>
    <row r="45" spans="2:9" s="151" customFormat="1" ht="15">
      <c r="H45" s="152"/>
      <c r="I45" s="152"/>
    </row>
    <row r="46" spans="2:9" s="151" customFormat="1" ht="15">
      <c r="H46" s="152"/>
      <c r="I46" s="152"/>
    </row>
    <row r="47" spans="2:9" s="151" customFormat="1" ht="15">
      <c r="H47" s="152"/>
      <c r="I47" s="152"/>
    </row>
    <row r="48" spans="2:9" s="151" customFormat="1" ht="15">
      <c r="H48" s="152"/>
      <c r="I48" s="152"/>
    </row>
    <row r="49" spans="8:9" s="151" customFormat="1" ht="15">
      <c r="H49" s="152"/>
      <c r="I49" s="152"/>
    </row>
    <row r="50" spans="8:9" s="151" customFormat="1" ht="15">
      <c r="H50" s="152"/>
      <c r="I50" s="152"/>
    </row>
    <row r="51" spans="8:9" s="151" customFormat="1" ht="15">
      <c r="H51" s="152"/>
      <c r="I51" s="152"/>
    </row>
    <row r="52" spans="8:9" s="151" customFormat="1" ht="15">
      <c r="H52" s="152"/>
      <c r="I52" s="152"/>
    </row>
    <row r="53" spans="8:9" s="151" customFormat="1" ht="15">
      <c r="H53" s="152"/>
      <c r="I53" s="152"/>
    </row>
    <row r="54" spans="8:9" s="151" customFormat="1" ht="15">
      <c r="H54" s="152"/>
      <c r="I54" s="152"/>
    </row>
    <row r="55" spans="8:9" s="151" customFormat="1" ht="15">
      <c r="H55" s="152"/>
      <c r="I55" s="152"/>
    </row>
    <row r="56" spans="8:9" s="151" customFormat="1" ht="15">
      <c r="H56" s="152"/>
      <c r="I56" s="152"/>
    </row>
    <row r="57" spans="8:9" s="151" customFormat="1" ht="15">
      <c r="H57" s="152"/>
      <c r="I57" s="152"/>
    </row>
    <row r="58" spans="8:9" s="151" customFormat="1" ht="15">
      <c r="H58" s="152"/>
      <c r="I58" s="152"/>
    </row>
    <row r="59" spans="8:9" s="151" customFormat="1" ht="15">
      <c r="H59" s="152"/>
      <c r="I59" s="152"/>
    </row>
    <row r="60" spans="8:9" s="151" customFormat="1" ht="15">
      <c r="H60" s="152"/>
      <c r="I60" s="152"/>
    </row>
    <row r="61" spans="8:9" s="151" customFormat="1" ht="15">
      <c r="H61" s="152"/>
      <c r="I61" s="152"/>
    </row>
    <row r="62" spans="8:9" s="151" customFormat="1" ht="15">
      <c r="H62" s="152"/>
      <c r="I62" s="152"/>
    </row>
    <row r="63" spans="8:9" s="151" customFormat="1" ht="15">
      <c r="H63" s="152"/>
      <c r="I63" s="152"/>
    </row>
    <row r="64" spans="8:9" s="151" customFormat="1" ht="15">
      <c r="H64" s="152"/>
      <c r="I64" s="152"/>
    </row>
    <row r="65" spans="8:9" s="151" customFormat="1" ht="15">
      <c r="H65" s="152"/>
      <c r="I65" s="152"/>
    </row>
    <row r="66" spans="8:9" s="151" customFormat="1" ht="15">
      <c r="H66" s="152"/>
      <c r="I66" s="152"/>
    </row>
    <row r="67" spans="8:9" s="151" customFormat="1" ht="15">
      <c r="H67" s="152"/>
      <c r="I67" s="152"/>
    </row>
    <row r="68" spans="8:9" s="151" customFormat="1" ht="15">
      <c r="H68" s="152"/>
      <c r="I68" s="152"/>
    </row>
    <row r="69" spans="8:9" s="151" customFormat="1" ht="15">
      <c r="H69" s="152"/>
      <c r="I69" s="152"/>
    </row>
    <row r="70" spans="8:9" s="151" customFormat="1" ht="15">
      <c r="H70" s="152"/>
      <c r="I70" s="152"/>
    </row>
    <row r="71" spans="8:9" s="151" customFormat="1" ht="15">
      <c r="H71" s="152"/>
      <c r="I71" s="152"/>
    </row>
    <row r="72" spans="8:9" s="151" customFormat="1" ht="15">
      <c r="H72" s="152"/>
      <c r="I72" s="152"/>
    </row>
    <row r="73" spans="8:9" s="151" customFormat="1" ht="15">
      <c r="H73" s="152"/>
      <c r="I73" s="152"/>
    </row>
    <row r="74" spans="8:9" s="151" customFormat="1" ht="15">
      <c r="H74" s="152"/>
      <c r="I74" s="152"/>
    </row>
    <row r="75" spans="8:9" s="151" customFormat="1" ht="15">
      <c r="H75" s="152"/>
      <c r="I75" s="152"/>
    </row>
    <row r="76" spans="8:9" s="4" customFormat="1" ht="15">
      <c r="H76" s="5"/>
      <c r="I76" s="5"/>
    </row>
    <row r="77" spans="8:9" s="4" customFormat="1" ht="15">
      <c r="H77" s="5"/>
      <c r="I77" s="5"/>
    </row>
    <row r="78" spans="8:9" s="4" customFormat="1" ht="15">
      <c r="H78" s="5"/>
      <c r="I78" s="5"/>
    </row>
    <row r="79" spans="8:9" s="4" customFormat="1" ht="15">
      <c r="H79" s="5"/>
      <c r="I79" s="5"/>
    </row>
    <row r="80" spans="8:9" s="4" customFormat="1" ht="15">
      <c r="H80" s="5"/>
      <c r="I80" s="5"/>
    </row>
    <row r="81" spans="8:9" s="4" customFormat="1" ht="15">
      <c r="H81" s="5"/>
      <c r="I81" s="5"/>
    </row>
    <row r="82" spans="8:9" s="4" customFormat="1" ht="15">
      <c r="H82" s="5"/>
      <c r="I82" s="5"/>
    </row>
    <row r="83" spans="8:9" s="4" customFormat="1" ht="15">
      <c r="H83" s="5"/>
      <c r="I83" s="5"/>
    </row>
    <row r="84" spans="8:9" s="4" customFormat="1" ht="15">
      <c r="H84" s="5"/>
      <c r="I84" s="5"/>
    </row>
    <row r="85" spans="8:9" s="4" customFormat="1" ht="15">
      <c r="H85" s="5"/>
      <c r="I85" s="5"/>
    </row>
    <row r="86" spans="8:9" s="4" customFormat="1" ht="15">
      <c r="H86" s="5"/>
      <c r="I86" s="5"/>
    </row>
    <row r="87" spans="8:9" s="4" customFormat="1" ht="15">
      <c r="H87" s="5"/>
      <c r="I87" s="5"/>
    </row>
    <row r="88" spans="8:9" s="4" customFormat="1" ht="15">
      <c r="H88" s="5"/>
      <c r="I88" s="5"/>
    </row>
    <row r="89" spans="8:9" s="4" customFormat="1" ht="15">
      <c r="H89" s="5"/>
      <c r="I89" s="5"/>
    </row>
    <row r="90" spans="8:9" s="4" customFormat="1" ht="15">
      <c r="H90" s="5"/>
      <c r="I90" s="5"/>
    </row>
    <row r="91" spans="8:9" s="4" customFormat="1" ht="15">
      <c r="H91" s="5"/>
      <c r="I91" s="5"/>
    </row>
    <row r="92" spans="8:9" s="4" customFormat="1" ht="15">
      <c r="H92" s="5"/>
      <c r="I92" s="5"/>
    </row>
    <row r="93" spans="8:9" s="4" customFormat="1" ht="15">
      <c r="H93" s="5"/>
      <c r="I93" s="5"/>
    </row>
    <row r="94" spans="8:9" s="4" customFormat="1" ht="15">
      <c r="H94" s="5"/>
      <c r="I94" s="5"/>
    </row>
    <row r="95" spans="8:9" s="4" customFormat="1" ht="15">
      <c r="H95" s="5"/>
      <c r="I95" s="5"/>
    </row>
    <row r="96" spans="8:9" s="4" customFormat="1" ht="15">
      <c r="H96" s="5"/>
      <c r="I96" s="5"/>
    </row>
    <row r="97" spans="8:9" s="4" customFormat="1" ht="15">
      <c r="H97" s="5"/>
      <c r="I97" s="5"/>
    </row>
    <row r="98" spans="8:9" s="4" customFormat="1" ht="15">
      <c r="H98" s="5"/>
      <c r="I98" s="5"/>
    </row>
    <row r="99" spans="8:9" s="4" customFormat="1" ht="15">
      <c r="H99" s="5"/>
      <c r="I99" s="5"/>
    </row>
    <row r="100" spans="8:9" s="4" customFormat="1" ht="15">
      <c r="H100" s="5"/>
      <c r="I100" s="5"/>
    </row>
    <row r="101" spans="8:9" s="4" customFormat="1" ht="15">
      <c r="H101" s="5"/>
      <c r="I101" s="5"/>
    </row>
    <row r="102" spans="8:9" s="4" customFormat="1" ht="15">
      <c r="H102" s="5"/>
      <c r="I102" s="5"/>
    </row>
    <row r="103" spans="8:9" s="4" customFormat="1" ht="15">
      <c r="H103" s="5"/>
      <c r="I103" s="5"/>
    </row>
    <row r="104" spans="8:9" s="4" customFormat="1" ht="15">
      <c r="H104" s="5"/>
      <c r="I104" s="5"/>
    </row>
    <row r="105" spans="8:9" s="4" customFormat="1" ht="15">
      <c r="H105" s="5"/>
      <c r="I105" s="5"/>
    </row>
    <row r="106" spans="8:9" s="4" customFormat="1" ht="15">
      <c r="H106" s="5"/>
      <c r="I106" s="5"/>
    </row>
    <row r="107" spans="8:9" s="4" customFormat="1" ht="15">
      <c r="H107" s="5"/>
      <c r="I107" s="5"/>
    </row>
    <row r="108" spans="8:9" s="4" customFormat="1" ht="15">
      <c r="H108" s="5"/>
      <c r="I108" s="5"/>
    </row>
    <row r="109" spans="8:9" s="4" customFormat="1" ht="15">
      <c r="H109" s="5"/>
      <c r="I109" s="5"/>
    </row>
    <row r="110" spans="8:9" s="4" customFormat="1" ht="15">
      <c r="H110" s="5"/>
      <c r="I110" s="5"/>
    </row>
    <row r="111" spans="8:9" s="4" customFormat="1" ht="15">
      <c r="H111" s="5"/>
      <c r="I111" s="5"/>
    </row>
    <row r="112" spans="8:9" s="4" customFormat="1" ht="15">
      <c r="H112" s="5"/>
      <c r="I112" s="5"/>
    </row>
    <row r="113" spans="8:9" s="4" customFormat="1" ht="15">
      <c r="H113" s="5"/>
      <c r="I113" s="5"/>
    </row>
    <row r="114" spans="8:9" s="4" customFormat="1" ht="15">
      <c r="H114" s="5"/>
      <c r="I114" s="5"/>
    </row>
    <row r="115" spans="8:9" s="4" customFormat="1" ht="15">
      <c r="H115" s="5"/>
      <c r="I115" s="5"/>
    </row>
    <row r="116" spans="8:9" s="4" customFormat="1" ht="15">
      <c r="H116" s="5"/>
      <c r="I116" s="5"/>
    </row>
    <row r="117" spans="8:9" s="4" customFormat="1" ht="15">
      <c r="H117" s="5"/>
      <c r="I117" s="5"/>
    </row>
    <row r="118" spans="8:9" s="4" customFormat="1" ht="15">
      <c r="H118" s="5"/>
      <c r="I118" s="5"/>
    </row>
    <row r="119" spans="8:9" s="4" customFormat="1" ht="15">
      <c r="H119" s="5"/>
      <c r="I119" s="5"/>
    </row>
    <row r="120" spans="8:9" s="4" customFormat="1" ht="15">
      <c r="H120" s="5"/>
      <c r="I120" s="5"/>
    </row>
    <row r="121" spans="8:9" s="4" customFormat="1" ht="15">
      <c r="H121" s="5"/>
      <c r="I121" s="5"/>
    </row>
    <row r="122" spans="8:9" s="4" customFormat="1" ht="15">
      <c r="H122" s="5"/>
      <c r="I122" s="5"/>
    </row>
    <row r="123" spans="8:9" s="4" customFormat="1" ht="15">
      <c r="H123" s="5"/>
      <c r="I123" s="5"/>
    </row>
    <row r="124" spans="8:9" s="4" customFormat="1" ht="15">
      <c r="H124" s="5"/>
      <c r="I124" s="5"/>
    </row>
    <row r="125" spans="8:9" s="4" customFormat="1" ht="15">
      <c r="H125" s="5"/>
      <c r="I125" s="5"/>
    </row>
    <row r="126" spans="8:9" s="4" customFormat="1" ht="15">
      <c r="H126" s="5"/>
      <c r="I126" s="5"/>
    </row>
    <row r="127" spans="8:9" s="4" customFormat="1" ht="15">
      <c r="H127" s="5"/>
      <c r="I127" s="5"/>
    </row>
    <row r="128" spans="8:9" s="4" customFormat="1" ht="15">
      <c r="H128" s="5"/>
      <c r="I128" s="5"/>
    </row>
    <row r="129" spans="8:9" s="4" customFormat="1" ht="15">
      <c r="H129" s="5"/>
      <c r="I129" s="5"/>
    </row>
    <row r="130" spans="8:9" s="4" customFormat="1" ht="15">
      <c r="H130" s="5"/>
      <c r="I130" s="5"/>
    </row>
    <row r="131" spans="8:9" s="4" customFormat="1" ht="15">
      <c r="H131" s="5"/>
      <c r="I131" s="5"/>
    </row>
    <row r="132" spans="8:9" s="4" customFormat="1" ht="15">
      <c r="H132" s="5"/>
      <c r="I132" s="5"/>
    </row>
    <row r="133" spans="8:9" s="4" customFormat="1" ht="15">
      <c r="H133" s="5"/>
      <c r="I133" s="5"/>
    </row>
    <row r="134" spans="8:9" s="4" customFormat="1" ht="15">
      <c r="H134" s="5"/>
      <c r="I134" s="5"/>
    </row>
    <row r="135" spans="8:9" s="4" customFormat="1" ht="15">
      <c r="H135" s="5"/>
      <c r="I135" s="5"/>
    </row>
    <row r="136" spans="8:9" s="4" customFormat="1" ht="15">
      <c r="H136" s="5"/>
      <c r="I136" s="5"/>
    </row>
    <row r="137" spans="8:9" s="4" customFormat="1" ht="15">
      <c r="H137" s="5"/>
      <c r="I137" s="5"/>
    </row>
    <row r="138" spans="8:9" s="4" customFormat="1" ht="15">
      <c r="H138" s="5"/>
      <c r="I138" s="5"/>
    </row>
    <row r="139" spans="8:9" s="4" customFormat="1" ht="15">
      <c r="H139" s="5"/>
      <c r="I139" s="5"/>
    </row>
    <row r="140" spans="8:9" s="4" customFormat="1" ht="15">
      <c r="H140" s="5"/>
      <c r="I140" s="5"/>
    </row>
    <row r="141" spans="8:9" s="4" customFormat="1" ht="15">
      <c r="H141" s="5"/>
      <c r="I141" s="5"/>
    </row>
    <row r="142" spans="8:9" s="4" customFormat="1" ht="15">
      <c r="H142" s="5"/>
      <c r="I142" s="5"/>
    </row>
    <row r="143" spans="8:9" s="4" customFormat="1" ht="15">
      <c r="H143" s="5"/>
      <c r="I143" s="5"/>
    </row>
    <row r="144" spans="8:9" s="4" customFormat="1" ht="15">
      <c r="H144" s="5"/>
      <c r="I144" s="5"/>
    </row>
    <row r="145" spans="8:9" s="4" customFormat="1" ht="15">
      <c r="H145" s="5"/>
      <c r="I145" s="5"/>
    </row>
    <row r="146" spans="8:9" s="4" customFormat="1" ht="15">
      <c r="H146" s="5"/>
      <c r="I146" s="5"/>
    </row>
    <row r="147" spans="8:9" s="4" customFormat="1" ht="15">
      <c r="H147" s="5"/>
      <c r="I147" s="5"/>
    </row>
    <row r="148" spans="8:9" s="4" customFormat="1" ht="15">
      <c r="H148" s="5"/>
      <c r="I148" s="5"/>
    </row>
    <row r="149" spans="8:9" s="4" customFormat="1" ht="15">
      <c r="H149" s="5"/>
      <c r="I149" s="5"/>
    </row>
    <row r="150" spans="8:9" s="4" customFormat="1" ht="15">
      <c r="H150" s="5"/>
      <c r="I150" s="5"/>
    </row>
    <row r="151" spans="8:9" s="4" customFormat="1" ht="15">
      <c r="H151" s="5"/>
      <c r="I151" s="5"/>
    </row>
    <row r="152" spans="8:9" s="4" customFormat="1" ht="15">
      <c r="H152" s="5"/>
      <c r="I152" s="5"/>
    </row>
    <row r="153" spans="8:9" s="4" customFormat="1" ht="15">
      <c r="H153" s="5"/>
      <c r="I153" s="5"/>
    </row>
    <row r="154" spans="8:9" s="4" customFormat="1" ht="15">
      <c r="H154" s="5"/>
      <c r="I154" s="5"/>
    </row>
    <row r="155" spans="8:9" s="4" customFormat="1" ht="15">
      <c r="H155" s="5"/>
      <c r="I155" s="5"/>
    </row>
    <row r="156" spans="8:9" s="4" customFormat="1" ht="15">
      <c r="H156" s="5"/>
      <c r="I156" s="5"/>
    </row>
    <row r="157" spans="8:9" s="4" customFormat="1" ht="15">
      <c r="H157" s="5"/>
      <c r="I157" s="5"/>
    </row>
    <row r="158" spans="8:9" s="4" customFormat="1" ht="15">
      <c r="H158" s="5"/>
      <c r="I158" s="5"/>
    </row>
    <row r="159" spans="8:9" s="4" customFormat="1" ht="15">
      <c r="H159" s="5"/>
      <c r="I159" s="5"/>
    </row>
    <row r="160" spans="8:9" s="4" customFormat="1" ht="15">
      <c r="H160" s="5"/>
      <c r="I160" s="5"/>
    </row>
    <row r="161" spans="8:9" s="4" customFormat="1" ht="15">
      <c r="H161" s="5"/>
      <c r="I161" s="5"/>
    </row>
    <row r="162" spans="8:9" s="4" customFormat="1" ht="15">
      <c r="H162" s="5"/>
      <c r="I162" s="5"/>
    </row>
    <row r="163" spans="8:9" s="4" customFormat="1" ht="15">
      <c r="H163" s="5"/>
      <c r="I163" s="5"/>
    </row>
    <row r="164" spans="8:9" s="4" customFormat="1" ht="15">
      <c r="H164" s="5"/>
      <c r="I164" s="5"/>
    </row>
    <row r="165" spans="8:9" s="4" customFormat="1" ht="15">
      <c r="H165" s="5"/>
      <c r="I165" s="5"/>
    </row>
    <row r="166" spans="8:9" s="4" customFormat="1" ht="15">
      <c r="H166" s="5"/>
      <c r="I166" s="5"/>
    </row>
    <row r="167" spans="8:9" s="4" customFormat="1" ht="15">
      <c r="H167" s="5"/>
      <c r="I167" s="5"/>
    </row>
    <row r="168" spans="8:9" s="4" customFormat="1" ht="15">
      <c r="H168" s="5"/>
      <c r="I168" s="5"/>
    </row>
    <row r="169" spans="8:9" s="4" customFormat="1" ht="15">
      <c r="H169" s="5"/>
      <c r="I169" s="5"/>
    </row>
    <row r="170" spans="8:9" s="4" customFormat="1" ht="15">
      <c r="H170" s="5"/>
      <c r="I170" s="5"/>
    </row>
    <row r="171" spans="8:9" s="4" customFormat="1" ht="15">
      <c r="H171" s="5"/>
      <c r="I171" s="5"/>
    </row>
    <row r="172" spans="8:9" s="4" customFormat="1" ht="15">
      <c r="H172" s="5"/>
      <c r="I172" s="5"/>
    </row>
    <row r="173" spans="8:9" s="4" customFormat="1" ht="15">
      <c r="H173" s="5"/>
      <c r="I173" s="5"/>
    </row>
    <row r="174" spans="8:9" s="4" customFormat="1" ht="15">
      <c r="H174" s="5"/>
      <c r="I174" s="5"/>
    </row>
    <row r="175" spans="8:9" s="4" customFormat="1" ht="15">
      <c r="H175" s="5"/>
      <c r="I175" s="5"/>
    </row>
    <row r="176" spans="8:9" s="4" customFormat="1" ht="15">
      <c r="H176" s="5"/>
      <c r="I176" s="5"/>
    </row>
    <row r="177" spans="8:9" s="4" customFormat="1" ht="15">
      <c r="H177" s="5"/>
      <c r="I177" s="5"/>
    </row>
    <row r="178" spans="8:9" s="4" customFormat="1" ht="15">
      <c r="H178" s="5"/>
      <c r="I178" s="5"/>
    </row>
    <row r="179" spans="8:9" s="4" customFormat="1" ht="15">
      <c r="H179" s="5"/>
      <c r="I179" s="5"/>
    </row>
    <row r="180" spans="8:9" s="4" customFormat="1" ht="15">
      <c r="H180" s="5"/>
      <c r="I180" s="5"/>
    </row>
    <row r="181" spans="8:9" s="4" customFormat="1" ht="15">
      <c r="H181" s="5"/>
      <c r="I181" s="5"/>
    </row>
    <row r="182" spans="8:9" s="4" customFormat="1" ht="15">
      <c r="H182" s="5"/>
      <c r="I182" s="5"/>
    </row>
    <row r="183" spans="8:9" s="4" customFormat="1" ht="15">
      <c r="H183" s="5"/>
      <c r="I183" s="5"/>
    </row>
    <row r="184" spans="8:9" s="4" customFormat="1" ht="15">
      <c r="H184" s="5"/>
      <c r="I184" s="5"/>
    </row>
    <row r="185" spans="8:9" s="4" customFormat="1" ht="15">
      <c r="H185" s="5"/>
      <c r="I185" s="5"/>
    </row>
    <row r="186" spans="8:9" s="4" customFormat="1" ht="15">
      <c r="H186" s="5"/>
      <c r="I186" s="5"/>
    </row>
    <row r="187" spans="8:9" s="4" customFormat="1" ht="15">
      <c r="H187" s="5"/>
      <c r="I187" s="5"/>
    </row>
    <row r="188" spans="8:9" s="4" customFormat="1" ht="15">
      <c r="H188" s="5"/>
      <c r="I188" s="5"/>
    </row>
    <row r="189" spans="8:9" s="4" customFormat="1" ht="15">
      <c r="H189" s="5"/>
      <c r="I189" s="5"/>
    </row>
    <row r="190" spans="8:9" s="4" customFormat="1" ht="15">
      <c r="H190" s="5"/>
      <c r="I190" s="5"/>
    </row>
    <row r="191" spans="8:9" s="4" customFormat="1" ht="15">
      <c r="H191" s="5"/>
      <c r="I191" s="5"/>
    </row>
    <row r="192" spans="8:9" s="4" customFormat="1" ht="15">
      <c r="H192" s="5"/>
      <c r="I192" s="5"/>
    </row>
    <row r="193" spans="8:9" s="4" customFormat="1" ht="15">
      <c r="H193" s="5"/>
      <c r="I193" s="5"/>
    </row>
    <row r="194" spans="8:9" s="4" customFormat="1" ht="15">
      <c r="H194" s="5"/>
      <c r="I194" s="5"/>
    </row>
    <row r="195" spans="8:9" s="4" customFormat="1" ht="15">
      <c r="H195" s="5"/>
      <c r="I195" s="5"/>
    </row>
    <row r="196" spans="8:9" s="4" customFormat="1" ht="15">
      <c r="H196" s="5"/>
      <c r="I196" s="5"/>
    </row>
    <row r="197" spans="8:9" s="4" customFormat="1" ht="15">
      <c r="H197" s="5"/>
      <c r="I197" s="5"/>
    </row>
    <row r="198" spans="8:9" s="4" customFormat="1" ht="15">
      <c r="H198" s="5"/>
      <c r="I198" s="5"/>
    </row>
    <row r="199" spans="8:9" s="4" customFormat="1" ht="15">
      <c r="H199" s="5"/>
      <c r="I199" s="5"/>
    </row>
    <row r="200" spans="8:9" s="4" customFormat="1" ht="15">
      <c r="H200" s="5"/>
      <c r="I200" s="5"/>
    </row>
    <row r="201" spans="8:9" s="4" customFormat="1" ht="15">
      <c r="H201" s="5"/>
      <c r="I201" s="5"/>
    </row>
    <row r="202" spans="8:9" s="4" customFormat="1" ht="15">
      <c r="H202" s="5"/>
      <c r="I202" s="5"/>
    </row>
    <row r="203" spans="8:9" s="4" customFormat="1" ht="15">
      <c r="H203" s="5"/>
      <c r="I203" s="5"/>
    </row>
    <row r="204" spans="8:9" s="4" customFormat="1" ht="15">
      <c r="H204" s="5"/>
      <c r="I204" s="5"/>
    </row>
    <row r="205" spans="8:9" s="4" customFormat="1" ht="15">
      <c r="H205" s="5"/>
      <c r="I205" s="5"/>
    </row>
    <row r="206" spans="8:9" s="4" customFormat="1" ht="15">
      <c r="H206" s="5"/>
      <c r="I206" s="5"/>
    </row>
    <row r="207" spans="8:9" s="4" customFormat="1" ht="15">
      <c r="H207" s="5"/>
      <c r="I207" s="5"/>
    </row>
    <row r="208" spans="8:9" s="4" customFormat="1" ht="15">
      <c r="H208" s="5"/>
      <c r="I208" s="5"/>
    </row>
    <row r="209" spans="8:9" s="4" customFormat="1" ht="15">
      <c r="H209" s="5"/>
      <c r="I209" s="5"/>
    </row>
    <row r="210" spans="8:9" s="4" customFormat="1" ht="15">
      <c r="H210" s="5"/>
      <c r="I210" s="5"/>
    </row>
    <row r="211" spans="8:9" s="4" customFormat="1" ht="15">
      <c r="H211" s="5"/>
      <c r="I211" s="5"/>
    </row>
    <row r="212" spans="8:9" s="4" customFormat="1" ht="15">
      <c r="H212" s="5"/>
      <c r="I212" s="5"/>
    </row>
    <row r="213" spans="8:9" s="4" customFormat="1" ht="15">
      <c r="H213" s="5"/>
      <c r="I213" s="5"/>
    </row>
    <row r="214" spans="8:9" s="4" customFormat="1" ht="15">
      <c r="H214" s="5"/>
      <c r="I214" s="5"/>
    </row>
    <row r="215" spans="8:9" s="4" customFormat="1" ht="15">
      <c r="H215" s="5"/>
      <c r="I215" s="5"/>
    </row>
    <row r="216" spans="8:9" s="4" customFormat="1" ht="15">
      <c r="H216" s="5"/>
      <c r="I216" s="5"/>
    </row>
    <row r="217" spans="8:9" s="4" customFormat="1" ht="15">
      <c r="H217" s="5"/>
      <c r="I217" s="5"/>
    </row>
    <row r="218" spans="8:9" s="4" customFormat="1" ht="15">
      <c r="H218" s="5"/>
      <c r="I218" s="5"/>
    </row>
    <row r="219" spans="8:9" s="4" customFormat="1" ht="15">
      <c r="H219" s="5"/>
      <c r="I219" s="5"/>
    </row>
    <row r="220" spans="8:9" s="4" customFormat="1" ht="15">
      <c r="H220" s="5"/>
      <c r="I220" s="5"/>
    </row>
    <row r="221" spans="8:9" s="4" customFormat="1" ht="15">
      <c r="H221" s="5"/>
      <c r="I221" s="5"/>
    </row>
    <row r="222" spans="8:9" s="4" customFormat="1" ht="15">
      <c r="H222" s="5"/>
      <c r="I222" s="5"/>
    </row>
    <row r="223" spans="8:9" s="4" customFormat="1" ht="15">
      <c r="H223" s="5"/>
      <c r="I223" s="5"/>
    </row>
    <row r="224" spans="8:9" s="4" customFormat="1" ht="15">
      <c r="H224" s="5"/>
      <c r="I224" s="5"/>
    </row>
    <row r="225" spans="8:9" s="4" customFormat="1" ht="15">
      <c r="H225" s="5"/>
      <c r="I225" s="5"/>
    </row>
    <row r="226" spans="8:9" s="4" customFormat="1" ht="15">
      <c r="H226" s="5"/>
      <c r="I226" s="5"/>
    </row>
    <row r="227" spans="8:9" s="4" customFormat="1" ht="15">
      <c r="H227" s="5"/>
      <c r="I227" s="5"/>
    </row>
    <row r="228" spans="8:9" s="4" customFormat="1" ht="15">
      <c r="H228" s="5"/>
      <c r="I228" s="5"/>
    </row>
    <row r="229" spans="8:9" s="4" customFormat="1" ht="15">
      <c r="H229" s="5"/>
      <c r="I229" s="5"/>
    </row>
    <row r="230" spans="8:9" s="4" customFormat="1" ht="15">
      <c r="H230" s="5"/>
      <c r="I230" s="5"/>
    </row>
    <row r="231" spans="8:9" s="4" customFormat="1" ht="15">
      <c r="H231" s="5"/>
      <c r="I231" s="5"/>
    </row>
    <row r="232" spans="8:9" s="4" customFormat="1" ht="15">
      <c r="H232" s="5"/>
      <c r="I232" s="5"/>
    </row>
    <row r="233" spans="8:9" s="4" customFormat="1" ht="15">
      <c r="H233" s="5"/>
      <c r="I233" s="5"/>
    </row>
    <row r="234" spans="8:9" s="4" customFormat="1" ht="15">
      <c r="H234" s="5"/>
      <c r="I234" s="5"/>
    </row>
    <row r="235" spans="8:9" s="4" customFormat="1" ht="15">
      <c r="H235" s="5"/>
      <c r="I235" s="5"/>
    </row>
    <row r="236" spans="8:9" s="4" customFormat="1" ht="15">
      <c r="H236" s="5"/>
      <c r="I236" s="5"/>
    </row>
    <row r="237" spans="8:9" s="4" customFormat="1" ht="15">
      <c r="H237" s="5"/>
      <c r="I237" s="5"/>
    </row>
    <row r="238" spans="8:9" s="4" customFormat="1" ht="15">
      <c r="H238" s="5"/>
      <c r="I238" s="5"/>
    </row>
    <row r="239" spans="8:9" s="4" customFormat="1" ht="15">
      <c r="H239" s="5"/>
      <c r="I239" s="5"/>
    </row>
    <row r="240" spans="8:9" s="4" customFormat="1" ht="15">
      <c r="H240" s="5"/>
      <c r="I240" s="5"/>
    </row>
    <row r="241" spans="8:9" s="4" customFormat="1" ht="15">
      <c r="H241" s="5"/>
      <c r="I241" s="5"/>
    </row>
    <row r="242" spans="8:9" s="4" customFormat="1" ht="15">
      <c r="H242" s="5"/>
      <c r="I242" s="5"/>
    </row>
    <row r="243" spans="8:9" s="4" customFormat="1" ht="15">
      <c r="H243" s="5"/>
      <c r="I243" s="5"/>
    </row>
    <row r="244" spans="8:9" s="4" customFormat="1" ht="15">
      <c r="H244" s="5"/>
      <c r="I244" s="5"/>
    </row>
    <row r="245" spans="8:9" s="4" customFormat="1" ht="15">
      <c r="H245" s="5"/>
      <c r="I245" s="5"/>
    </row>
    <row r="246" spans="8:9" s="4" customFormat="1" ht="15">
      <c r="H246" s="5"/>
      <c r="I246" s="5"/>
    </row>
    <row r="247" spans="8:9" s="4" customFormat="1" ht="15">
      <c r="H247" s="5"/>
      <c r="I247" s="5"/>
    </row>
    <row r="248" spans="8:9" s="4" customFormat="1" ht="15">
      <c r="H248" s="5"/>
      <c r="I248" s="5"/>
    </row>
    <row r="249" spans="8:9" s="4" customFormat="1" ht="15">
      <c r="H249" s="5"/>
      <c r="I249" s="5"/>
    </row>
    <row r="250" spans="8:9" s="4" customFormat="1" ht="15">
      <c r="H250" s="5"/>
      <c r="I250" s="5"/>
    </row>
    <row r="251" spans="8:9" s="4" customFormat="1" ht="15">
      <c r="H251" s="5"/>
      <c r="I251" s="5"/>
    </row>
    <row r="252" spans="8:9" s="4" customFormat="1" ht="15">
      <c r="H252" s="5"/>
      <c r="I252" s="5"/>
    </row>
    <row r="253" spans="8:9" s="4" customFormat="1" ht="15">
      <c r="H253" s="5"/>
      <c r="I253" s="5"/>
    </row>
    <row r="254" spans="8:9" s="4" customFormat="1" ht="15">
      <c r="H254" s="5"/>
      <c r="I254" s="5"/>
    </row>
    <row r="255" spans="8:9" s="4" customFormat="1" ht="15">
      <c r="H255" s="5"/>
      <c r="I255" s="5"/>
    </row>
    <row r="256" spans="8:9" s="4" customFormat="1" ht="15">
      <c r="H256" s="5"/>
      <c r="I256" s="5"/>
    </row>
    <row r="257" spans="8:9" s="4" customFormat="1" ht="15">
      <c r="H257" s="5"/>
      <c r="I257" s="5"/>
    </row>
    <row r="258" spans="8:9" s="4" customFormat="1" ht="15">
      <c r="H258" s="5"/>
      <c r="I258" s="5"/>
    </row>
    <row r="259" spans="8:9" s="4" customFormat="1" ht="15">
      <c r="H259" s="5"/>
      <c r="I259" s="5"/>
    </row>
    <row r="260" spans="8:9" s="4" customFormat="1" ht="15">
      <c r="H260" s="5"/>
      <c r="I260" s="5"/>
    </row>
    <row r="261" spans="8:9" s="4" customFormat="1" ht="15">
      <c r="H261" s="5"/>
      <c r="I261" s="5"/>
    </row>
    <row r="262" spans="8:9" s="4" customFormat="1" ht="15">
      <c r="H262" s="5"/>
      <c r="I262" s="5"/>
    </row>
    <row r="263" spans="8:9" s="4" customFormat="1" ht="15">
      <c r="H263" s="5"/>
      <c r="I263" s="5"/>
    </row>
    <row r="264" spans="8:9" s="4" customFormat="1" ht="15">
      <c r="H264" s="5"/>
      <c r="I264" s="5"/>
    </row>
    <row r="265" spans="8:9" s="4" customFormat="1" ht="15">
      <c r="H265" s="5"/>
      <c r="I265" s="5"/>
    </row>
    <row r="266" spans="8:9" s="4" customFormat="1" ht="15">
      <c r="H266" s="5"/>
      <c r="I266" s="5"/>
    </row>
    <row r="267" spans="8:9" s="4" customFormat="1" ht="15">
      <c r="H267" s="5"/>
      <c r="I267" s="5"/>
    </row>
    <row r="268" spans="8:9" s="4" customFormat="1" ht="15">
      <c r="H268" s="5"/>
      <c r="I268" s="5"/>
    </row>
    <row r="269" spans="8:9" s="4" customFormat="1" ht="15">
      <c r="H269" s="5"/>
      <c r="I269" s="5"/>
    </row>
    <row r="270" spans="8:9" s="4" customFormat="1" ht="15">
      <c r="H270" s="5"/>
      <c r="I270" s="5"/>
    </row>
    <row r="271" spans="8:9" s="4" customFormat="1" ht="15">
      <c r="H271" s="5"/>
      <c r="I271" s="5"/>
    </row>
    <row r="272" spans="8:9" s="4" customFormat="1" ht="15">
      <c r="H272" s="5"/>
      <c r="I272" s="5"/>
    </row>
    <row r="273" spans="8:9" s="4" customFormat="1" ht="15">
      <c r="H273" s="5"/>
      <c r="I273" s="5"/>
    </row>
    <row r="274" spans="8:9" s="4" customFormat="1" ht="15">
      <c r="H274" s="5"/>
      <c r="I274" s="5"/>
    </row>
    <row r="275" spans="8:9" s="4" customFormat="1" ht="15">
      <c r="H275" s="5"/>
      <c r="I275" s="5"/>
    </row>
    <row r="276" spans="8:9" s="4" customFormat="1" ht="15">
      <c r="H276" s="5"/>
      <c r="I276" s="5"/>
    </row>
    <row r="277" spans="8:9" s="4" customFormat="1" ht="15">
      <c r="H277" s="5"/>
      <c r="I277" s="5"/>
    </row>
    <row r="278" spans="8:9" s="4" customFormat="1" ht="15">
      <c r="H278" s="5"/>
      <c r="I278" s="5"/>
    </row>
    <row r="279" spans="8:9" s="4" customFormat="1" ht="15">
      <c r="H279" s="5"/>
      <c r="I279" s="5"/>
    </row>
    <row r="280" spans="8:9" s="4" customFormat="1" ht="15">
      <c r="H280" s="5"/>
      <c r="I280" s="5"/>
    </row>
    <row r="281" spans="8:9" s="4" customFormat="1" ht="15">
      <c r="H281" s="5"/>
      <c r="I281" s="5"/>
    </row>
    <row r="282" spans="8:9" s="4" customFormat="1" ht="15">
      <c r="H282" s="5"/>
      <c r="I282" s="5"/>
    </row>
    <row r="283" spans="8:9" s="4" customFormat="1" ht="15">
      <c r="H283" s="5"/>
      <c r="I283" s="5"/>
    </row>
    <row r="284" spans="8:9" s="4" customFormat="1" ht="15">
      <c r="H284" s="5"/>
      <c r="I284" s="5"/>
    </row>
    <row r="285" spans="8:9" s="4" customFormat="1" ht="15">
      <c r="H285" s="5"/>
      <c r="I285" s="5"/>
    </row>
    <row r="286" spans="8:9" s="4" customFormat="1" ht="15">
      <c r="H286" s="5"/>
      <c r="I286" s="5"/>
    </row>
    <row r="287" spans="8:9" s="4" customFormat="1" ht="15">
      <c r="H287" s="5"/>
      <c r="I287" s="5"/>
    </row>
    <row r="288" spans="8:9" s="4" customFormat="1" ht="15">
      <c r="H288" s="5"/>
      <c r="I288" s="5"/>
    </row>
    <row r="289" spans="8:9" s="4" customFormat="1" ht="15">
      <c r="H289" s="5"/>
      <c r="I289" s="5"/>
    </row>
    <row r="290" spans="8:9" s="4" customFormat="1" ht="15">
      <c r="H290" s="5"/>
      <c r="I290" s="5"/>
    </row>
    <row r="291" spans="8:9" s="4" customFormat="1" ht="15">
      <c r="H291" s="5"/>
      <c r="I291" s="5"/>
    </row>
    <row r="292" spans="8:9" s="4" customFormat="1" ht="15">
      <c r="H292" s="5"/>
      <c r="I292" s="5"/>
    </row>
    <row r="293" spans="8:9" s="4" customFormat="1" ht="15">
      <c r="H293" s="5"/>
      <c r="I293" s="5"/>
    </row>
    <row r="294" spans="8:9" s="4" customFormat="1" ht="15">
      <c r="H294" s="5"/>
      <c r="I294" s="5"/>
    </row>
    <row r="295" spans="8:9" s="4" customFormat="1" ht="15">
      <c r="H295" s="5"/>
      <c r="I295" s="5"/>
    </row>
    <row r="296" spans="8:9" s="4" customFormat="1" ht="15">
      <c r="H296" s="5"/>
      <c r="I296" s="5"/>
    </row>
    <row r="297" spans="8:9" s="4" customFormat="1" ht="15">
      <c r="H297" s="5"/>
      <c r="I297" s="5"/>
    </row>
    <row r="298" spans="8:9" s="4" customFormat="1" ht="15">
      <c r="H298" s="5"/>
      <c r="I298" s="5"/>
    </row>
    <row r="299" spans="8:9" s="4" customFormat="1" ht="15">
      <c r="H299" s="5"/>
      <c r="I299" s="5"/>
    </row>
    <row r="300" spans="8:9" s="4" customFormat="1" ht="15">
      <c r="H300" s="5"/>
      <c r="I300" s="5"/>
    </row>
    <row r="301" spans="8:9" s="4" customFormat="1" ht="15">
      <c r="H301" s="5"/>
      <c r="I301" s="5"/>
    </row>
    <row r="302" spans="8:9" s="4" customFormat="1" ht="15">
      <c r="H302" s="5"/>
      <c r="I302" s="5"/>
    </row>
    <row r="303" spans="8:9" s="4" customFormat="1" ht="15">
      <c r="H303" s="5"/>
      <c r="I303" s="5"/>
    </row>
    <row r="304" spans="8:9" s="4" customFormat="1" ht="15">
      <c r="H304" s="5"/>
      <c r="I304" s="5"/>
    </row>
    <row r="305" spans="8:9" s="4" customFormat="1" ht="15">
      <c r="H305" s="5"/>
      <c r="I305" s="5"/>
    </row>
    <row r="306" spans="8:9" s="4" customFormat="1" ht="15">
      <c r="H306" s="5"/>
      <c r="I306" s="5"/>
    </row>
    <row r="307" spans="8:9" s="4" customFormat="1" ht="15">
      <c r="H307" s="5"/>
      <c r="I307" s="5"/>
    </row>
    <row r="308" spans="8:9" s="4" customFormat="1" ht="15">
      <c r="H308" s="5"/>
      <c r="I308" s="5"/>
    </row>
    <row r="309" spans="8:9" s="4" customFormat="1" ht="15">
      <c r="H309" s="5"/>
      <c r="I309" s="5"/>
    </row>
    <row r="310" spans="8:9" s="4" customFormat="1" ht="15">
      <c r="H310" s="5"/>
      <c r="I310" s="5"/>
    </row>
    <row r="311" spans="8:9" s="4" customFormat="1" ht="15">
      <c r="H311" s="5"/>
      <c r="I311" s="5"/>
    </row>
    <row r="312" spans="8:9" s="4" customFormat="1" ht="15">
      <c r="H312" s="5"/>
      <c r="I312" s="5"/>
    </row>
    <row r="313" spans="8:9" s="4" customFormat="1" ht="15">
      <c r="H313" s="5"/>
      <c r="I313" s="5"/>
    </row>
    <row r="314" spans="8:9" s="4" customFormat="1" ht="15">
      <c r="H314" s="5"/>
      <c r="I314" s="5"/>
    </row>
    <row r="315" spans="8:9" s="4" customFormat="1" ht="15">
      <c r="H315" s="5"/>
      <c r="I315" s="5"/>
    </row>
    <row r="316" spans="8:9" s="4" customFormat="1" ht="15">
      <c r="H316" s="5"/>
      <c r="I316" s="5"/>
    </row>
    <row r="317" spans="8:9" s="4" customFormat="1" ht="15">
      <c r="H317" s="5"/>
      <c r="I317" s="5"/>
    </row>
    <row r="318" spans="8:9" s="4" customFormat="1" ht="15">
      <c r="H318" s="5"/>
      <c r="I318" s="5"/>
    </row>
    <row r="319" spans="8:9" s="4" customFormat="1" ht="15">
      <c r="H319" s="5"/>
      <c r="I319" s="5"/>
    </row>
    <row r="320" spans="8:9" s="4" customFormat="1" ht="15">
      <c r="H320" s="5"/>
      <c r="I320" s="5"/>
    </row>
    <row r="321" spans="8:9" s="4" customFormat="1" ht="15">
      <c r="H321" s="5"/>
      <c r="I321" s="5"/>
    </row>
    <row r="322" spans="8:9" s="4" customFormat="1" ht="15">
      <c r="H322" s="5"/>
      <c r="I322" s="5"/>
    </row>
    <row r="323" spans="8:9" s="4" customFormat="1" ht="15">
      <c r="H323" s="5"/>
      <c r="I323" s="5"/>
    </row>
    <row r="324" spans="8:9" s="4" customFormat="1" ht="15">
      <c r="H324" s="5"/>
      <c r="I324" s="5"/>
    </row>
    <row r="325" spans="8:9" s="4" customFormat="1" ht="15">
      <c r="H325" s="5"/>
      <c r="I325" s="5"/>
    </row>
    <row r="326" spans="8:9" s="4" customFormat="1" ht="15">
      <c r="H326" s="5"/>
      <c r="I326" s="5"/>
    </row>
    <row r="327" spans="8:9" s="4" customFormat="1" ht="15">
      <c r="H327" s="5"/>
      <c r="I327" s="5"/>
    </row>
    <row r="328" spans="8:9" s="4" customFormat="1" ht="15">
      <c r="H328" s="5"/>
      <c r="I328" s="5"/>
    </row>
    <row r="329" spans="8:9" s="4" customFormat="1" ht="15">
      <c r="H329" s="5"/>
      <c r="I329" s="5"/>
    </row>
    <row r="330" spans="8:9" s="4" customFormat="1" ht="15">
      <c r="H330" s="5"/>
      <c r="I330" s="5"/>
    </row>
    <row r="331" spans="8:9" s="4" customFormat="1" ht="15">
      <c r="H331" s="5"/>
      <c r="I331" s="5"/>
    </row>
    <row r="332" spans="8:9" s="4" customFormat="1" ht="15">
      <c r="H332" s="5"/>
      <c r="I332" s="5"/>
    </row>
    <row r="333" spans="8:9" s="4" customFormat="1" ht="15">
      <c r="H333" s="5"/>
      <c r="I333" s="5"/>
    </row>
    <row r="334" spans="8:9" s="4" customFormat="1" ht="15">
      <c r="H334" s="5"/>
      <c r="I334" s="5"/>
    </row>
    <row r="335" spans="8:9" s="4" customFormat="1" ht="15">
      <c r="H335" s="5"/>
      <c r="I335" s="5"/>
    </row>
    <row r="336" spans="8:9" s="4" customFormat="1" ht="15">
      <c r="H336" s="5"/>
      <c r="I336" s="5"/>
    </row>
    <row r="337" spans="8:9" s="4" customFormat="1" ht="15">
      <c r="H337" s="5"/>
      <c r="I337" s="5"/>
    </row>
    <row r="338" spans="8:9" s="4" customFormat="1" ht="15">
      <c r="H338" s="5"/>
      <c r="I338" s="5"/>
    </row>
    <row r="339" spans="8:9" s="4" customFormat="1" ht="15">
      <c r="H339" s="5"/>
      <c r="I339" s="5"/>
    </row>
    <row r="340" spans="8:9" s="4" customFormat="1" ht="15">
      <c r="H340" s="5"/>
      <c r="I340" s="5"/>
    </row>
    <row r="341" spans="8:9" s="4" customFormat="1" ht="15">
      <c r="H341" s="5"/>
      <c r="I341" s="5"/>
    </row>
    <row r="342" spans="8:9" s="4" customFormat="1" ht="15">
      <c r="H342" s="5"/>
      <c r="I342" s="5"/>
    </row>
    <row r="343" spans="8:9" s="4" customFormat="1" ht="15">
      <c r="H343" s="5"/>
      <c r="I343" s="5"/>
    </row>
    <row r="344" spans="8:9" s="4" customFormat="1" ht="15">
      <c r="H344" s="5"/>
      <c r="I344" s="5"/>
    </row>
    <row r="345" spans="8:9" s="4" customFormat="1" ht="15">
      <c r="H345" s="5"/>
      <c r="I345" s="5"/>
    </row>
    <row r="346" spans="8:9" s="4" customFormat="1" ht="15">
      <c r="H346" s="5"/>
      <c r="I346" s="5"/>
    </row>
    <row r="347" spans="8:9" s="4" customFormat="1" ht="15">
      <c r="H347" s="5"/>
      <c r="I347" s="5"/>
    </row>
    <row r="348" spans="8:9" s="4" customFormat="1" ht="15">
      <c r="H348" s="5"/>
      <c r="I348" s="5"/>
    </row>
    <row r="349" spans="8:9" s="4" customFormat="1" ht="15">
      <c r="H349" s="5"/>
      <c r="I349" s="5"/>
    </row>
    <row r="350" spans="8:9" s="4" customFormat="1" ht="15">
      <c r="H350" s="5"/>
      <c r="I350" s="5"/>
    </row>
    <row r="351" spans="8:9" s="4" customFormat="1" ht="15">
      <c r="H351" s="5"/>
      <c r="I351" s="5"/>
    </row>
    <row r="352" spans="8:9" s="4" customFormat="1" ht="15">
      <c r="H352" s="5"/>
      <c r="I352" s="5"/>
    </row>
    <row r="353" spans="8:9" s="4" customFormat="1" ht="15">
      <c r="H353" s="5"/>
      <c r="I353" s="5"/>
    </row>
    <row r="354" spans="8:9" s="4" customFormat="1" ht="15">
      <c r="H354" s="5"/>
      <c r="I354" s="5"/>
    </row>
    <row r="355" spans="8:9" s="4" customFormat="1" ht="15">
      <c r="H355" s="5"/>
      <c r="I355" s="5"/>
    </row>
    <row r="356" spans="8:9" s="4" customFormat="1" ht="15">
      <c r="H356" s="5"/>
      <c r="I356" s="5"/>
    </row>
    <row r="357" spans="8:9" s="4" customFormat="1" ht="15">
      <c r="H357" s="5"/>
      <c r="I357" s="5"/>
    </row>
    <row r="358" spans="8:9" s="4" customFormat="1" ht="15">
      <c r="H358" s="5"/>
      <c r="I358" s="5"/>
    </row>
    <row r="359" spans="8:9" s="4" customFormat="1" ht="15">
      <c r="H359" s="5"/>
      <c r="I359" s="5"/>
    </row>
    <row r="360" spans="8:9" s="4" customFormat="1" ht="15">
      <c r="H360" s="5"/>
      <c r="I360" s="5"/>
    </row>
    <row r="361" spans="8:9" s="4" customFormat="1" ht="15">
      <c r="H361" s="5"/>
      <c r="I361" s="5"/>
    </row>
    <row r="362" spans="8:9" s="4" customFormat="1" ht="15">
      <c r="H362" s="5"/>
      <c r="I362" s="5"/>
    </row>
    <row r="363" spans="8:9" s="4" customFormat="1" ht="15">
      <c r="H363" s="5"/>
      <c r="I363" s="5"/>
    </row>
    <row r="364" spans="8:9" s="4" customFormat="1" ht="15">
      <c r="H364" s="5"/>
      <c r="I364" s="5"/>
    </row>
    <row r="365" spans="8:9" s="4" customFormat="1" ht="15">
      <c r="H365" s="5"/>
      <c r="I365" s="5"/>
    </row>
    <row r="366" spans="8:9" s="4" customFormat="1" ht="15">
      <c r="H366" s="5"/>
      <c r="I366" s="5"/>
    </row>
    <row r="367" spans="8:9" s="4" customFormat="1" ht="15">
      <c r="H367" s="5"/>
      <c r="I367" s="5"/>
    </row>
    <row r="368" spans="8:9" s="4" customFormat="1" ht="15">
      <c r="H368" s="5"/>
      <c r="I368" s="5"/>
    </row>
    <row r="369" spans="8:9" s="4" customFormat="1" ht="15">
      <c r="H369" s="5"/>
      <c r="I369" s="5"/>
    </row>
    <row r="370" spans="8:9" s="4" customFormat="1" ht="15">
      <c r="H370" s="5"/>
      <c r="I370" s="5"/>
    </row>
  </sheetData>
  <sheetProtection password="CB8E" sheet="1"/>
  <mergeCells count="2">
    <mergeCell ref="A1:L1"/>
    <mergeCell ref="A5:L5"/>
  </mergeCells>
  <phoneticPr fontId="0" type="noConversion"/>
  <printOptions horizontalCentered="1"/>
  <pageMargins left="0" right="0" top="0" bottom="0" header="0" footer="0"/>
  <pageSetup paperSize="9" pageOrder="overThenDown" orientation="landscape" r:id="rId1"/>
  <headerFooter alignWithMargins="0">
    <oddHeader xml:space="preserve">&amp;R&amp;"Times New Roman,Italique"
&amp;"Bookman Old Style,Normal"
</oddHeader>
    <oddFooter>&amp;R&amp;"Times New Roman,Italique"SODEMEL - Page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workbookViewId="0">
      <selection activeCell="G64" sqref="G64"/>
    </sheetView>
  </sheetViews>
  <sheetFormatPr baseColWidth="10" defaultRowHeight="15"/>
  <cols>
    <col min="1" max="1" width="2.7109375" style="4" customWidth="1"/>
    <col min="2" max="2" width="10.7109375" style="4" customWidth="1"/>
    <col min="3" max="3" width="19.85546875" style="4" customWidth="1"/>
    <col min="4" max="4" width="15.5703125" style="5" customWidth="1"/>
    <col min="5" max="6" width="13.7109375" style="5" hidden="1" customWidth="1"/>
    <col min="7" max="7" width="18.140625" style="5" customWidth="1"/>
    <col min="8" max="8" width="10.7109375" style="5" customWidth="1"/>
    <col min="9" max="12" width="7.7109375" style="4" customWidth="1"/>
    <col min="13" max="13" width="0.42578125" style="4" customWidth="1"/>
    <col min="14" max="20" width="6.7109375" style="4" customWidth="1"/>
    <col min="21" max="23" width="7.7109375" style="4" customWidth="1"/>
    <col min="24" max="33" width="7.5703125" style="4" customWidth="1"/>
    <col min="34" max="16384" width="11.42578125" style="4"/>
  </cols>
  <sheetData>
    <row r="1" spans="1:23" s="158" customFormat="1" ht="18" customHeight="1">
      <c r="A1" s="156" t="str">
        <f>données!A1</f>
        <v>PARC D'ACTIVITES ANGERS MARCE</v>
      </c>
      <c r="B1" s="160"/>
      <c r="C1" s="160"/>
      <c r="D1" s="161"/>
      <c r="E1" s="161"/>
      <c r="F1" s="161"/>
      <c r="G1" s="161"/>
      <c r="H1" s="159"/>
    </row>
    <row r="2" spans="1:23" s="135" customFormat="1" ht="17.100000000000001" customHeight="1">
      <c r="A2" s="410" t="str">
        <f>CONCATENATE("BILAN FINANCIER PREVISIONNEL AU ",DAY(dateCRAC),"/",MONTH(dateCRAC),"/",YEAR(dateCRAC))</f>
        <v>BILAN FINANCIER PREVISIONNEL AU 31/12/2011</v>
      </c>
      <c r="B2" s="410"/>
      <c r="C2" s="410"/>
      <c r="D2" s="410"/>
      <c r="E2" s="410"/>
      <c r="F2" s="410"/>
      <c r="G2" s="410"/>
      <c r="H2" s="136"/>
    </row>
    <row r="3" spans="1:23" s="191" customFormat="1" ht="11.1" customHeight="1">
      <c r="A3" s="267" t="s">
        <v>1</v>
      </c>
      <c r="B3" s="268"/>
      <c r="C3" s="268"/>
      <c r="D3" s="269"/>
      <c r="E3" s="270"/>
      <c r="F3" s="271"/>
      <c r="G3" s="271" t="s">
        <v>108</v>
      </c>
      <c r="H3" s="190"/>
      <c r="I3" s="190"/>
      <c r="J3" s="190"/>
      <c r="K3" s="190"/>
      <c r="L3" s="190"/>
      <c r="M3" s="190"/>
      <c r="N3" s="190"/>
      <c r="O3" s="189"/>
      <c r="P3" s="189"/>
      <c r="Q3" s="189"/>
      <c r="R3" s="189"/>
      <c r="S3" s="189"/>
      <c r="T3" s="189"/>
      <c r="U3" s="189"/>
      <c r="V3" s="189"/>
      <c r="W3" s="189"/>
    </row>
    <row r="4" spans="1:23" s="5" customFormat="1" ht="12.95" customHeight="1">
      <c r="A4" s="257" t="s">
        <v>3</v>
      </c>
      <c r="B4" s="258"/>
      <c r="C4" s="258"/>
      <c r="D4" s="272"/>
      <c r="E4" s="273" t="s">
        <v>110</v>
      </c>
      <c r="F4" s="274" t="s">
        <v>111</v>
      </c>
      <c r="G4" s="274" t="s">
        <v>112</v>
      </c>
      <c r="H4" s="6"/>
      <c r="I4" s="6"/>
      <c r="J4" s="6"/>
      <c r="K4" s="6"/>
      <c r="L4" s="6"/>
      <c r="M4" s="6"/>
      <c r="N4" s="6"/>
      <c r="O4" s="4"/>
      <c r="P4" s="4"/>
      <c r="Q4" s="4"/>
      <c r="R4" s="4"/>
      <c r="S4" s="4"/>
      <c r="T4" s="4"/>
      <c r="U4" s="4"/>
      <c r="V4" s="4"/>
      <c r="W4" s="4"/>
    </row>
    <row r="5" spans="1:23" s="159" customFormat="1" ht="11.1" customHeight="1">
      <c r="A5" s="275"/>
      <c r="B5" s="276"/>
      <c r="C5" s="276"/>
      <c r="D5" s="277" t="str">
        <f>'detail bilan HT'!$C$6</f>
        <v>K€ HT</v>
      </c>
      <c r="E5" s="278">
        <f>'detail bilan HT'!E6</f>
        <v>39446</v>
      </c>
      <c r="F5" s="279" t="s">
        <v>114</v>
      </c>
      <c r="G5" s="278">
        <f>E5</f>
        <v>39446</v>
      </c>
      <c r="H5" s="187"/>
      <c r="I5" s="187"/>
      <c r="J5" s="187"/>
      <c r="K5" s="187"/>
      <c r="L5" s="187"/>
      <c r="M5" s="187"/>
      <c r="N5" s="187"/>
      <c r="O5" s="158"/>
      <c r="P5" s="158"/>
      <c r="Q5" s="158"/>
      <c r="R5" s="158"/>
      <c r="S5" s="158"/>
      <c r="T5" s="158"/>
      <c r="U5" s="158"/>
      <c r="V5" s="158"/>
      <c r="W5" s="158"/>
    </row>
    <row r="6" spans="1:23" s="5" customFormat="1" ht="15" customHeight="1">
      <c r="A6" s="7" t="str">
        <f>'bilan HT'!A6</f>
        <v>1/FONCIER</v>
      </c>
      <c r="B6" s="8"/>
      <c r="C6" s="6"/>
      <c r="D6" s="6"/>
      <c r="E6" s="194"/>
      <c r="F6" s="194"/>
      <c r="G6" s="194"/>
      <c r="H6" s="6"/>
      <c r="I6" s="6"/>
      <c r="J6" s="6"/>
      <c r="K6" s="6"/>
      <c r="L6" s="6"/>
      <c r="M6" s="6"/>
      <c r="N6" s="6"/>
      <c r="O6" s="4"/>
      <c r="P6" s="4"/>
      <c r="Q6" s="4"/>
      <c r="R6" s="4"/>
      <c r="S6" s="4"/>
      <c r="T6" s="4"/>
      <c r="U6" s="4"/>
      <c r="V6" s="4"/>
      <c r="W6" s="4"/>
    </row>
    <row r="7" spans="1:23" s="5" customFormat="1" ht="12.95" customHeight="1">
      <c r="A7" s="7"/>
      <c r="B7" s="12" t="str">
        <f>'bilan HT'!B7</f>
        <v>Acquisitions, frais d'actes</v>
      </c>
      <c r="C7"/>
      <c r="D7" s="9"/>
      <c r="E7" s="10">
        <f>SUM('detail bilan HT'!D12:E12)</f>
        <v>1113</v>
      </c>
      <c r="F7" s="10">
        <f>'detail bilan HT'!V12-E7</f>
        <v>10</v>
      </c>
      <c r="G7" s="10">
        <f>'bilan HT'!G7</f>
        <v>1123</v>
      </c>
      <c r="H7" s="6"/>
      <c r="I7" s="6"/>
      <c r="J7" s="6"/>
      <c r="K7" s="6"/>
      <c r="L7" s="6"/>
      <c r="M7" s="6"/>
      <c r="N7" s="6"/>
      <c r="O7" s="4"/>
      <c r="P7" s="4"/>
      <c r="Q7" s="4"/>
      <c r="R7" s="4"/>
      <c r="S7" s="4"/>
      <c r="T7" s="4"/>
      <c r="U7" s="4"/>
      <c r="V7" s="4"/>
      <c r="W7" s="4"/>
    </row>
    <row r="8" spans="1:23" s="5" customFormat="1" ht="12.95" customHeight="1">
      <c r="A8" s="1"/>
      <c r="B8" s="12" t="str">
        <f>'bilan HT'!B8</f>
        <v>Impôts, autres charges foncières</v>
      </c>
      <c r="C8"/>
      <c r="D8" s="8"/>
      <c r="E8" s="10">
        <f>SUM('detail bilan HT'!D17:E17)</f>
        <v>26</v>
      </c>
      <c r="F8" s="10">
        <f>'detail bilan HT'!V17-E8</f>
        <v>27</v>
      </c>
      <c r="G8" s="10">
        <f>'bilan HT'!G8</f>
        <v>53</v>
      </c>
      <c r="H8" s="6"/>
      <c r="I8" s="6"/>
      <c r="J8" s="6"/>
      <c r="K8" s="6"/>
      <c r="L8" s="6"/>
      <c r="M8" s="6"/>
      <c r="N8" s="6"/>
      <c r="O8" s="4"/>
      <c r="P8" s="4"/>
      <c r="Q8" s="4"/>
      <c r="R8" s="4"/>
      <c r="S8" s="4"/>
      <c r="T8" s="4"/>
      <c r="U8" s="4"/>
      <c r="V8" s="4"/>
      <c r="W8" s="4"/>
    </row>
    <row r="9" spans="1:23" s="159" customFormat="1" ht="12.95" customHeight="1">
      <c r="A9" s="325"/>
      <c r="B9" s="326"/>
      <c r="C9" s="327"/>
      <c r="D9" s="327" t="s">
        <v>13</v>
      </c>
      <c r="E9" s="328">
        <f>SUM(E7:E8)</f>
        <v>1139</v>
      </c>
      <c r="F9" s="328">
        <f>SUM(F7:F8)</f>
        <v>37</v>
      </c>
      <c r="G9" s="328">
        <f>SUM(G7:G8)</f>
        <v>1176</v>
      </c>
      <c r="H9" s="187"/>
      <c r="I9" s="187"/>
      <c r="J9" s="187"/>
      <c r="K9" s="187"/>
      <c r="L9" s="187"/>
      <c r="M9" s="187"/>
      <c r="N9" s="187"/>
      <c r="O9" s="158"/>
      <c r="P9" s="158"/>
      <c r="Q9" s="158"/>
      <c r="R9" s="158"/>
      <c r="S9" s="158"/>
      <c r="T9" s="158"/>
      <c r="U9" s="158"/>
      <c r="V9" s="158"/>
    </row>
    <row r="10" spans="1:23" s="5" customFormat="1" ht="12.95" customHeight="1">
      <c r="A10" s="7" t="str">
        <f>'bilan HT'!A10</f>
        <v>2/ETUDES</v>
      </c>
      <c r="B10"/>
      <c r="C10"/>
      <c r="D10"/>
      <c r="E10" s="195"/>
      <c r="F10" s="195"/>
      <c r="G10" s="195"/>
      <c r="H10" s="12"/>
      <c r="I10" s="6"/>
      <c r="J10" s="6"/>
      <c r="K10" s="6"/>
      <c r="L10" s="6"/>
      <c r="M10" s="6"/>
      <c r="N10" s="6"/>
      <c r="O10" s="4"/>
      <c r="P10" s="4"/>
      <c r="Q10" s="4"/>
      <c r="R10" s="4"/>
      <c r="S10" s="4"/>
      <c r="T10" s="4"/>
      <c r="U10" s="4"/>
      <c r="V10" s="4"/>
    </row>
    <row r="11" spans="1:23" s="5" customFormat="1" ht="12.95" customHeight="1">
      <c r="A11" s="7"/>
      <c r="B11" s="12" t="str">
        <f>'bilan HT'!B11</f>
        <v>Etudes de faisabilité</v>
      </c>
      <c r="C11"/>
      <c r="D11" s="16"/>
      <c r="E11" s="10">
        <f>SUM('detail bilan HT'!D28:E28)</f>
        <v>63</v>
      </c>
      <c r="F11" s="10">
        <f>-E11+'detail bilan HT'!V28</f>
        <v>0</v>
      </c>
      <c r="G11" s="10">
        <f>'bilan HT'!G11</f>
        <v>63</v>
      </c>
      <c r="H11" s="12"/>
      <c r="I11" s="6"/>
      <c r="J11" s="6"/>
      <c r="K11" s="6"/>
      <c r="L11" s="6"/>
      <c r="M11" s="6"/>
      <c r="N11" s="6"/>
      <c r="O11" s="4"/>
      <c r="P11" s="4"/>
      <c r="Q11" s="4"/>
      <c r="R11" s="4"/>
      <c r="S11" s="4"/>
      <c r="T11" s="4"/>
      <c r="U11" s="4"/>
      <c r="V11" s="4"/>
    </row>
    <row r="12" spans="1:23" s="5" customFormat="1" ht="12.95" customHeight="1">
      <c r="A12" s="15"/>
      <c r="B12" s="12" t="str">
        <f>'bilan HT'!B12</f>
        <v>Etudes de réalisation</v>
      </c>
      <c r="C12"/>
      <c r="D12" s="16"/>
      <c r="E12" s="17">
        <f>SUM('detail bilan HT'!D37:E37)</f>
        <v>41</v>
      </c>
      <c r="F12" s="17">
        <f>-E12+'detail bilan HT'!V37</f>
        <v>123</v>
      </c>
      <c r="G12" s="10">
        <f>'bilan HT'!G12</f>
        <v>164</v>
      </c>
      <c r="H12" s="6"/>
      <c r="I12" s="6"/>
      <c r="J12" s="6"/>
      <c r="K12" s="6"/>
      <c r="L12" s="6"/>
      <c r="M12" s="6"/>
      <c r="N12" s="6"/>
      <c r="O12" s="4"/>
      <c r="P12" s="4"/>
      <c r="Q12" s="4"/>
      <c r="R12" s="4"/>
      <c r="S12" s="4"/>
      <c r="T12" s="4"/>
      <c r="U12" s="4"/>
      <c r="V12" s="4"/>
    </row>
    <row r="13" spans="1:23" s="159" customFormat="1" ht="12.95" customHeight="1">
      <c r="A13" s="329"/>
      <c r="B13" s="327"/>
      <c r="C13" s="327"/>
      <c r="D13" s="330" t="s">
        <v>20</v>
      </c>
      <c r="E13" s="328">
        <f>SUM(E11:E12)</f>
        <v>104</v>
      </c>
      <c r="F13" s="328">
        <f>SUM(F11:F12)</f>
        <v>123</v>
      </c>
      <c r="G13" s="328">
        <f>SUM(G11:G12)</f>
        <v>227</v>
      </c>
      <c r="H13" s="187"/>
      <c r="I13" s="187"/>
      <c r="J13" s="187"/>
      <c r="K13" s="187"/>
      <c r="L13" s="187"/>
      <c r="M13" s="187"/>
      <c r="N13" s="187"/>
      <c r="O13" s="158"/>
      <c r="P13" s="158"/>
      <c r="Q13" s="158"/>
      <c r="R13" s="158"/>
      <c r="S13" s="158"/>
      <c r="T13" s="158"/>
      <c r="U13" s="158"/>
      <c r="V13" s="158"/>
    </row>
    <row r="14" spans="1:23" s="5" customFormat="1" ht="12.95" customHeight="1">
      <c r="A14" s="7" t="str">
        <f>'bilan HT'!A14</f>
        <v>3/TRAVAUX</v>
      </c>
      <c r="B14" s="8"/>
      <c r="C14" s="8"/>
      <c r="D14" s="9"/>
      <c r="E14" s="10"/>
      <c r="F14" s="10"/>
      <c r="G14" s="10"/>
      <c r="H14" s="6"/>
      <c r="I14" s="6"/>
      <c r="J14" s="6"/>
      <c r="K14" s="6"/>
      <c r="L14" s="6"/>
      <c r="M14" s="6"/>
      <c r="N14" s="6"/>
      <c r="O14" s="4"/>
      <c r="P14" s="4"/>
      <c r="Q14" s="4"/>
      <c r="R14" s="4"/>
      <c r="S14" s="4"/>
      <c r="T14" s="4"/>
      <c r="U14" s="4"/>
      <c r="V14" s="4"/>
    </row>
    <row r="15" spans="1:23" s="5" customFormat="1" ht="12.95" customHeight="1">
      <c r="A15" s="11"/>
      <c r="B15" s="30" t="str">
        <f>'bilan HT'!B15</f>
        <v>Diagnostic &amp; fouilles archéologiques</v>
      </c>
      <c r="C15" s="12"/>
      <c r="D15" s="16"/>
      <c r="E15" s="10">
        <f>SUM('detail bilan HT'!D46:E46)</f>
        <v>396</v>
      </c>
      <c r="F15" s="10">
        <f>'detail bilan HT'!V46-E15</f>
        <v>0</v>
      </c>
      <c r="G15" s="10">
        <f>'bilan HT'!G15</f>
        <v>396</v>
      </c>
      <c r="H15" s="6"/>
      <c r="I15" s="6"/>
      <c r="J15" s="6"/>
      <c r="K15" s="6"/>
      <c r="L15" s="6"/>
      <c r="M15" s="6"/>
      <c r="N15" s="6"/>
      <c r="O15" s="4"/>
      <c r="P15" s="4"/>
      <c r="Q15" s="4"/>
      <c r="R15" s="4"/>
      <c r="S15" s="4"/>
      <c r="T15" s="4"/>
      <c r="U15" s="4"/>
      <c r="V15" s="4"/>
    </row>
    <row r="16" spans="1:23" s="5" customFormat="1" ht="12.95" customHeight="1">
      <c r="A16" s="11"/>
      <c r="B16" s="30" t="str">
        <f>'bilan HT'!B16</f>
        <v>Travaux extérieurs</v>
      </c>
      <c r="C16" s="12"/>
      <c r="D16" s="16"/>
      <c r="E16" s="10">
        <f>SUM('detail bilan HT'!D53:E53)</f>
        <v>0</v>
      </c>
      <c r="F16" s="10">
        <f>'detail bilan HT'!V53-E16</f>
        <v>0</v>
      </c>
      <c r="G16" s="10">
        <f>'bilan HT'!G16</f>
        <v>0</v>
      </c>
      <c r="H16" s="6"/>
      <c r="I16" s="6"/>
      <c r="J16" s="6"/>
      <c r="K16" s="6"/>
      <c r="L16" s="6"/>
      <c r="M16" s="6"/>
      <c r="N16" s="6"/>
      <c r="O16" s="4"/>
      <c r="P16" s="4"/>
      <c r="Q16" s="4"/>
      <c r="R16" s="4"/>
      <c r="S16" s="4"/>
      <c r="T16" s="4"/>
      <c r="U16" s="4"/>
      <c r="V16" s="4"/>
    </row>
    <row r="17" spans="1:22" s="5" customFormat="1" ht="12.95" customHeight="1">
      <c r="A17" s="11"/>
      <c r="B17" s="30" t="str">
        <f>'bilan HT'!B17</f>
        <v>Aménagements de sols</v>
      </c>
      <c r="C17" s="12"/>
      <c r="D17" s="16"/>
      <c r="E17" s="10">
        <f>SUM('detail bilan HT'!D60:E60)</f>
        <v>0</v>
      </c>
      <c r="F17" s="10">
        <f>-E17+'detail bilan HT'!V60</f>
        <v>0</v>
      </c>
      <c r="G17" s="10">
        <f>'bilan HT'!G17</f>
        <v>0</v>
      </c>
      <c r="H17" s="6"/>
      <c r="I17" s="6"/>
      <c r="J17" s="6"/>
      <c r="K17" s="6"/>
      <c r="L17" s="6"/>
      <c r="M17" s="6"/>
      <c r="N17" s="6"/>
      <c r="O17" s="4"/>
      <c r="P17" s="4"/>
      <c r="Q17" s="4"/>
      <c r="R17" s="4"/>
      <c r="S17" s="4"/>
      <c r="T17" s="4"/>
      <c r="U17" s="4"/>
      <c r="V17" s="4"/>
    </row>
    <row r="18" spans="1:22" s="5" customFormat="1" ht="12.95" customHeight="1">
      <c r="A18" s="11"/>
      <c r="B18" s="30" t="str">
        <f>'bilan HT'!B18</f>
        <v>Voirie, assainissement, eau potable</v>
      </c>
      <c r="C18" s="12"/>
      <c r="D18" s="16"/>
      <c r="E18" s="10">
        <f>SUM('detail bilan HT'!D67:E67)</f>
        <v>1285</v>
      </c>
      <c r="F18" s="10">
        <f>-E18+'detail bilan HT'!V67</f>
        <v>1200</v>
      </c>
      <c r="G18" s="10">
        <f>'bilan HT'!G18</f>
        <v>2485</v>
      </c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  <c r="S18" s="4"/>
      <c r="T18" s="4"/>
      <c r="U18" s="4"/>
      <c r="V18" s="4"/>
    </row>
    <row r="19" spans="1:22" s="5" customFormat="1" ht="12.95" customHeight="1">
      <c r="A19" s="11"/>
      <c r="B19" s="30" t="str">
        <f>'bilan HT'!B19</f>
        <v>Electricité, téléphone, éclairage public</v>
      </c>
      <c r="C19" s="12"/>
      <c r="D19" s="16"/>
      <c r="E19" s="10">
        <f>SUM('detail bilan HT'!D74:E74)</f>
        <v>454</v>
      </c>
      <c r="F19" s="10">
        <f>-E19+'detail bilan HT'!V74</f>
        <v>220</v>
      </c>
      <c r="G19" s="10">
        <f>'bilan HT'!G19</f>
        <v>674</v>
      </c>
      <c r="H19" s="6"/>
      <c r="I19" s="6"/>
      <c r="J19" s="6"/>
      <c r="K19" s="6"/>
      <c r="L19" s="6"/>
      <c r="M19" s="6"/>
      <c r="N19" s="6"/>
      <c r="O19" s="4"/>
      <c r="P19" s="4"/>
      <c r="Q19" s="4"/>
      <c r="R19" s="4"/>
      <c r="S19" s="4"/>
      <c r="T19" s="4"/>
      <c r="U19" s="4"/>
      <c r="V19" s="4"/>
    </row>
    <row r="20" spans="1:22" s="5" customFormat="1" ht="12.95" customHeight="1">
      <c r="A20" s="11"/>
      <c r="B20" s="30" t="str">
        <f>'bilan HT'!B20</f>
        <v>Espaces verts</v>
      </c>
      <c r="C20" s="12"/>
      <c r="D20" s="16"/>
      <c r="E20" s="10">
        <f>SUM('detail bilan HT'!D85:E85)</f>
        <v>457</v>
      </c>
      <c r="F20" s="10">
        <f>-E20+'detail bilan HT'!V85</f>
        <v>50</v>
      </c>
      <c r="G20" s="10">
        <f>'bilan HT'!G20</f>
        <v>507</v>
      </c>
      <c r="H20" s="6"/>
      <c r="I20" s="6"/>
      <c r="J20" s="6"/>
      <c r="K20" s="6"/>
      <c r="L20" s="6"/>
      <c r="M20" s="6"/>
      <c r="N20" s="6"/>
      <c r="O20" s="4"/>
      <c r="P20" s="4"/>
      <c r="Q20" s="4"/>
      <c r="R20" s="4"/>
      <c r="S20" s="4"/>
      <c r="T20" s="4"/>
      <c r="U20" s="4"/>
      <c r="V20" s="4"/>
    </row>
    <row r="21" spans="1:22" s="5" customFormat="1" ht="12.95" customHeight="1">
      <c r="A21" s="11"/>
      <c r="B21" s="30" t="str">
        <f>'bilan HT'!B21</f>
        <v>Maîtrise d'œuvre/SPS</v>
      </c>
      <c r="C21" s="12"/>
      <c r="D21" s="16"/>
      <c r="E21" s="10">
        <f>SUM('detail bilan HT'!D92:E92)</f>
        <v>161</v>
      </c>
      <c r="F21" s="10">
        <f>-E21+'detail bilan HT'!V92</f>
        <v>74</v>
      </c>
      <c r="G21" s="10">
        <f>'bilan HT'!G21</f>
        <v>235</v>
      </c>
      <c r="H21" s="6"/>
      <c r="I21" s="6"/>
      <c r="J21" s="6"/>
      <c r="K21" s="6"/>
      <c r="L21" s="6"/>
      <c r="M21" s="6"/>
      <c r="N21" s="6"/>
      <c r="O21" s="4"/>
      <c r="P21" s="4"/>
      <c r="Q21" s="4"/>
      <c r="R21" s="4"/>
      <c r="S21" s="4"/>
      <c r="T21" s="4"/>
      <c r="U21" s="4"/>
      <c r="V21" s="4"/>
    </row>
    <row r="22" spans="1:22" s="5" customFormat="1" ht="12.95" customHeight="1">
      <c r="A22" s="11"/>
      <c r="B22" s="30" t="str">
        <f>'bilan HT'!B22</f>
        <v>Divers &amp; imprévus</v>
      </c>
      <c r="C22" s="12"/>
      <c r="D22" s="16"/>
      <c r="E22" s="10">
        <f>SUM('detail bilan HT'!D99:E99)</f>
        <v>0</v>
      </c>
      <c r="F22" s="10">
        <f>'detail bilan HT'!V99-E22</f>
        <v>371</v>
      </c>
      <c r="G22" s="10">
        <f>'bilan HT'!G22</f>
        <v>371</v>
      </c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  <c r="U22" s="4"/>
      <c r="V22" s="4"/>
    </row>
    <row r="23" spans="1:22" s="159" customFormat="1" ht="12.95" customHeight="1">
      <c r="A23" s="329"/>
      <c r="B23" s="327"/>
      <c r="C23" s="327"/>
      <c r="D23" s="330" t="s">
        <v>27</v>
      </c>
      <c r="E23" s="328">
        <f>SUM(E15:E22)</f>
        <v>2753</v>
      </c>
      <c r="F23" s="328">
        <f>SUM(F15:F22)</f>
        <v>1915</v>
      </c>
      <c r="G23" s="328">
        <f>SUM(G15:G22)</f>
        <v>4668</v>
      </c>
      <c r="H23" s="187"/>
      <c r="I23" s="187"/>
      <c r="J23" s="187"/>
      <c r="K23" s="187"/>
      <c r="L23" s="187"/>
      <c r="M23" s="187"/>
      <c r="N23" s="187"/>
      <c r="O23" s="158"/>
      <c r="P23" s="158"/>
      <c r="Q23" s="158"/>
      <c r="R23" s="158"/>
      <c r="S23" s="158"/>
      <c r="T23" s="158"/>
      <c r="U23" s="158"/>
      <c r="V23" s="158"/>
    </row>
    <row r="24" spans="1:22" s="5" customFormat="1" ht="12.95" customHeight="1">
      <c r="A24" s="7" t="str">
        <f>'bilan HT'!A24</f>
        <v>4/FRAIS FINANCIERS</v>
      </c>
      <c r="B24" s="8"/>
      <c r="C24" s="8"/>
      <c r="D24" s="9"/>
      <c r="E24" s="20"/>
      <c r="F24" s="20"/>
      <c r="G24" s="20"/>
      <c r="H24" s="6"/>
      <c r="I24" s="6"/>
      <c r="J24" s="6"/>
      <c r="K24" s="6"/>
      <c r="L24" s="6"/>
      <c r="M24" s="6"/>
      <c r="N24" s="6"/>
      <c r="O24" s="4"/>
      <c r="P24" s="4"/>
      <c r="Q24" s="4"/>
      <c r="R24" s="4"/>
      <c r="S24" s="4"/>
      <c r="T24" s="4"/>
      <c r="U24" s="4"/>
      <c r="V24" s="4"/>
    </row>
    <row r="25" spans="1:22" s="5" customFormat="1" ht="12.95" customHeight="1">
      <c r="A25" s="11"/>
      <c r="B25" s="12" t="str">
        <f>'bilan HT'!B25</f>
        <v>Sur emprunts</v>
      </c>
      <c r="C25" s="12"/>
      <c r="D25" s="16"/>
      <c r="E25" s="10">
        <f>SUM('detail bilan HT'!D111:E111)</f>
        <v>0</v>
      </c>
      <c r="F25" s="10">
        <f>-E25+'detail bilan HT'!V111</f>
        <v>0</v>
      </c>
      <c r="G25" s="10">
        <f>'bilan HT'!G25</f>
        <v>0</v>
      </c>
      <c r="H25" s="6"/>
      <c r="I25" s="6"/>
      <c r="J25" s="6"/>
      <c r="K25" s="6"/>
      <c r="L25" s="6"/>
      <c r="M25" s="6"/>
      <c r="N25" s="6"/>
      <c r="O25" s="4"/>
      <c r="P25" s="4"/>
      <c r="Q25" s="4"/>
      <c r="R25" s="4"/>
      <c r="S25" s="4"/>
      <c r="T25" s="4"/>
      <c r="U25" s="4"/>
      <c r="V25" s="4"/>
    </row>
    <row r="26" spans="1:22" s="5" customFormat="1" ht="12.95" customHeight="1">
      <c r="A26" s="11"/>
      <c r="B26" s="12" t="str">
        <f>'bilan HT'!B26</f>
        <v>Sur court terme</v>
      </c>
      <c r="C26" s="12"/>
      <c r="D26" s="16"/>
      <c r="E26" s="10">
        <f>SUM('detail bilan HT'!D112:E113)</f>
        <v>141</v>
      </c>
      <c r="F26" s="10">
        <f>-E26+SUM('detail bilan HT'!V112:V113)</f>
        <v>516</v>
      </c>
      <c r="G26" s="10">
        <f>'bilan HT'!G26</f>
        <v>657</v>
      </c>
      <c r="H26" s="6"/>
      <c r="I26" s="6"/>
      <c r="J26" s="6"/>
      <c r="K26" s="6"/>
      <c r="L26" s="6"/>
      <c r="M26" s="6"/>
      <c r="N26" s="6"/>
      <c r="O26" s="4"/>
      <c r="P26" s="4"/>
      <c r="Q26" s="4"/>
      <c r="R26" s="4"/>
      <c r="S26" s="4"/>
      <c r="T26" s="4"/>
      <c r="U26" s="4"/>
      <c r="V26" s="4"/>
    </row>
    <row r="27" spans="1:22" s="159" customFormat="1" ht="12.95" customHeight="1">
      <c r="A27" s="329"/>
      <c r="B27" s="327"/>
      <c r="C27" s="327"/>
      <c r="D27" s="330" t="s">
        <v>32</v>
      </c>
      <c r="E27" s="328">
        <f>SUM(E25:E26)</f>
        <v>141</v>
      </c>
      <c r="F27" s="328">
        <f>SUM(F25:F26)</f>
        <v>516</v>
      </c>
      <c r="G27" s="328">
        <f>SUM(G25:G26)</f>
        <v>657</v>
      </c>
      <c r="H27" s="187"/>
      <c r="I27" s="187"/>
      <c r="J27" s="187"/>
      <c r="K27" s="187"/>
      <c r="L27" s="187"/>
      <c r="M27" s="187"/>
      <c r="N27" s="187"/>
      <c r="O27" s="158"/>
      <c r="P27" s="158"/>
      <c r="Q27" s="158"/>
      <c r="R27" s="158"/>
      <c r="S27" s="158"/>
      <c r="T27" s="158"/>
      <c r="U27" s="158"/>
      <c r="V27" s="158"/>
    </row>
    <row r="28" spans="1:22" s="5" customFormat="1" ht="12.95" customHeight="1">
      <c r="A28" s="7" t="str">
        <f>'bilan HT'!A28</f>
        <v>5/FRAIS DE SOCIETE</v>
      </c>
      <c r="B28" s="8"/>
      <c r="C28" s="8"/>
      <c r="D28" s="9"/>
      <c r="E28" s="10"/>
      <c r="F28" s="10"/>
      <c r="G28" s="10"/>
      <c r="H28" s="6"/>
      <c r="I28" s="6"/>
      <c r="J28" s="6"/>
      <c r="K28" s="6"/>
      <c r="L28" s="6"/>
      <c r="M28" s="6"/>
      <c r="N28" s="6"/>
      <c r="O28" s="4"/>
      <c r="P28" s="4"/>
      <c r="Q28" s="4"/>
      <c r="R28" s="4"/>
      <c r="S28" s="4"/>
      <c r="T28" s="4"/>
      <c r="U28" s="4"/>
      <c r="V28" s="4"/>
    </row>
    <row r="29" spans="1:22" s="5" customFormat="1" ht="12.95" customHeight="1">
      <c r="A29" s="11"/>
      <c r="B29" s="30" t="str">
        <f>'bilan HT'!B29</f>
        <v>Gestion</v>
      </c>
      <c r="C29" s="21"/>
      <c r="D29" s="16"/>
      <c r="E29" s="10">
        <f>SUM('detail bilan HT'!D127:E127)</f>
        <v>200</v>
      </c>
      <c r="F29" s="10">
        <f>SUM(-E29,'detail bilan HT'!V127)</f>
        <v>167</v>
      </c>
      <c r="G29" s="10">
        <f>'bilan HT'!G29</f>
        <v>367</v>
      </c>
      <c r="H29" s="6"/>
      <c r="I29" s="6"/>
      <c r="J29" s="6"/>
      <c r="K29" s="6"/>
      <c r="L29" s="6"/>
      <c r="M29" s="6"/>
      <c r="N29" s="6"/>
      <c r="O29" s="4"/>
      <c r="P29" s="4"/>
      <c r="Q29" s="4"/>
      <c r="R29" s="4"/>
      <c r="S29" s="4"/>
      <c r="T29" s="4"/>
      <c r="U29" s="4"/>
      <c r="V29" s="4"/>
    </row>
    <row r="30" spans="1:22" s="5" customFormat="1" ht="12.95" customHeight="1">
      <c r="A30" s="11"/>
      <c r="B30" s="30" t="str">
        <f>'bilan HT'!B30</f>
        <v>Commercialisation</v>
      </c>
      <c r="C30" s="21"/>
      <c r="D30" s="16"/>
      <c r="E30" s="10">
        <f>SUM('detail bilan HT'!D134:E134)</f>
        <v>0</v>
      </c>
      <c r="F30" s="10">
        <f>SUM(-E30,'detail bilan HT'!V134)</f>
        <v>400</v>
      </c>
      <c r="G30" s="10">
        <f>'bilan HT'!G30</f>
        <v>400</v>
      </c>
      <c r="H30" s="6"/>
      <c r="I30" s="6"/>
      <c r="J30" s="6"/>
      <c r="K30" s="6"/>
      <c r="L30" s="6"/>
      <c r="M30" s="6"/>
      <c r="N30" s="6"/>
      <c r="O30" s="4"/>
      <c r="P30" s="4"/>
      <c r="Q30" s="4"/>
      <c r="R30" s="4"/>
      <c r="S30" s="4"/>
      <c r="T30" s="4"/>
      <c r="U30" s="4"/>
      <c r="V30" s="4"/>
    </row>
    <row r="31" spans="1:22" s="158" customFormat="1" ht="12.95" customHeight="1">
      <c r="A31" s="329"/>
      <c r="B31" s="327"/>
      <c r="C31" s="327"/>
      <c r="D31" s="330" t="s">
        <v>40</v>
      </c>
      <c r="E31" s="328">
        <f>SUM(E29:E30)</f>
        <v>200</v>
      </c>
      <c r="F31" s="328">
        <f>SUM(F29:F30)</f>
        <v>567</v>
      </c>
      <c r="G31" s="328">
        <f>SUM(G29:G30)</f>
        <v>767</v>
      </c>
      <c r="H31" s="187"/>
      <c r="I31" s="187"/>
      <c r="J31" s="187"/>
      <c r="K31" s="187"/>
      <c r="L31" s="187"/>
      <c r="M31" s="187"/>
      <c r="N31" s="187"/>
    </row>
    <row r="32" spans="1:22" ht="12.95" customHeight="1">
      <c r="A32" s="7" t="str">
        <f>'bilan HT'!A32</f>
        <v>6/AUTRES FRAIS</v>
      </c>
      <c r="B32" s="8"/>
      <c r="C32" s="8"/>
      <c r="D32" s="9"/>
      <c r="E32" s="10"/>
      <c r="F32" s="10"/>
      <c r="G32" s="10"/>
      <c r="H32" s="6"/>
      <c r="I32" s="6"/>
      <c r="J32" s="6"/>
      <c r="K32" s="6"/>
      <c r="L32" s="6"/>
      <c r="M32" s="6"/>
      <c r="N32" s="6"/>
    </row>
    <row r="33" spans="1:14" ht="12.95" customHeight="1">
      <c r="A33" s="11"/>
      <c r="B33" s="8" t="str">
        <f>'bilan HT'!B33</f>
        <v>Panneau publicitaire</v>
      </c>
      <c r="C33" s="12"/>
      <c r="D33" s="16"/>
      <c r="E33" s="30" t="e">
        <f>IF(AND('detail bilan HT'!$V137=0,#REF!=0),"",SUM('detail bilan HT'!D137:E137))</f>
        <v>#REF!</v>
      </c>
      <c r="F33" s="10" t="e">
        <f>IF(AND('detail bilan HT'!$V137=0,#REF!=0),"",'detail bilan HT'!V137-E33)</f>
        <v>#REF!</v>
      </c>
      <c r="G33" s="10">
        <f>'bilan HT'!G33</f>
        <v>5</v>
      </c>
      <c r="H33" s="6"/>
      <c r="I33" s="6"/>
      <c r="J33" s="6"/>
      <c r="K33" s="6"/>
      <c r="L33" s="6"/>
      <c r="M33" s="6"/>
      <c r="N33" s="6"/>
    </row>
    <row r="34" spans="1:14" ht="12.95" customHeight="1">
      <c r="A34" s="11"/>
      <c r="B34" s="8" t="str">
        <f>'bilan HT'!B34</f>
        <v/>
      </c>
      <c r="C34" s="12"/>
      <c r="D34" s="16"/>
      <c r="E34" s="30" t="e">
        <f>IF(AND('detail bilan HT'!$V138=0,#REF!=0),"",SUM('detail bilan HT'!D138:E138))</f>
        <v>#REF!</v>
      </c>
      <c r="F34" s="10" t="e">
        <f>IF(AND('detail bilan HT'!$V138=0,#REF!=0),"",'detail bilan HT'!V138-E34)</f>
        <v>#REF!</v>
      </c>
      <c r="G34" s="10" t="str">
        <f>'bilan HT'!G34</f>
        <v/>
      </c>
      <c r="H34" s="6"/>
      <c r="I34" s="6"/>
      <c r="J34" s="6"/>
      <c r="K34" s="6"/>
      <c r="L34" s="6"/>
      <c r="M34" s="6"/>
      <c r="N34" s="6"/>
    </row>
    <row r="35" spans="1:14" ht="12.95" customHeight="1">
      <c r="A35" s="11"/>
      <c r="B35" s="8" t="str">
        <f>'bilan HT'!B35</f>
        <v/>
      </c>
      <c r="C35" s="12"/>
      <c r="D35" s="16"/>
      <c r="E35" s="30" t="e">
        <f>IF(AND('detail bilan HT'!$V139=0,#REF!=0),"",SUM('detail bilan HT'!D139:E139))</f>
        <v>#REF!</v>
      </c>
      <c r="F35" s="10" t="e">
        <f>IF(AND('detail bilan HT'!$V139=0,#REF!=0),"",'detail bilan HT'!V139-E35)</f>
        <v>#REF!</v>
      </c>
      <c r="G35" s="10" t="str">
        <f>'bilan HT'!G35</f>
        <v/>
      </c>
      <c r="H35" s="6"/>
      <c r="I35" s="6"/>
      <c r="J35" s="6"/>
      <c r="K35" s="6"/>
      <c r="L35" s="6"/>
      <c r="M35" s="6"/>
      <c r="N35" s="6"/>
    </row>
    <row r="36" spans="1:14" ht="12.95" customHeight="1">
      <c r="A36" s="11"/>
      <c r="B36" s="8" t="str">
        <f>'bilan HT'!B36</f>
        <v/>
      </c>
      <c r="C36" s="12"/>
      <c r="D36" s="16"/>
      <c r="E36" s="30" t="e">
        <f>IF(AND('detail bilan HT'!$V140=0,#REF!=0),"",SUM('detail bilan HT'!D140:E140))</f>
        <v>#REF!</v>
      </c>
      <c r="F36" s="10" t="e">
        <f>IF(AND('detail bilan HT'!$V140=0,#REF!=0),"",'detail bilan HT'!V140-E36)</f>
        <v>#REF!</v>
      </c>
      <c r="G36" s="10" t="str">
        <f>'bilan HT'!G36</f>
        <v/>
      </c>
      <c r="H36" s="6"/>
      <c r="I36" s="6"/>
      <c r="J36" s="6"/>
      <c r="K36" s="6"/>
      <c r="L36" s="6"/>
      <c r="M36" s="6"/>
      <c r="N36" s="6"/>
    </row>
    <row r="37" spans="1:14" ht="12.95" customHeight="1">
      <c r="A37" s="11"/>
      <c r="B37" s="8" t="str">
        <f>'bilan HT'!B37</f>
        <v/>
      </c>
      <c r="C37" s="12"/>
      <c r="D37" s="16"/>
      <c r="E37" s="30" t="e">
        <f>IF(AND('detail bilan HT'!$V141=0,#REF!=0),"",SUM('detail bilan HT'!D141:E141))</f>
        <v>#REF!</v>
      </c>
      <c r="F37" s="10" t="e">
        <f>IF(AND('detail bilan HT'!$V141=0,#REF!=0),"",'detail bilan HT'!V141-E37)</f>
        <v>#REF!</v>
      </c>
      <c r="G37" s="10" t="str">
        <f>'bilan HT'!G37</f>
        <v/>
      </c>
      <c r="H37" s="6"/>
      <c r="I37" s="6"/>
      <c r="J37" s="6"/>
      <c r="K37" s="6"/>
      <c r="L37" s="6"/>
      <c r="M37" s="6"/>
      <c r="N37" s="6"/>
    </row>
    <row r="38" spans="1:14" s="158" customFormat="1" ht="12.95" customHeight="1">
      <c r="A38" s="329"/>
      <c r="B38" s="327"/>
      <c r="C38" s="327"/>
      <c r="D38" s="330" t="s">
        <v>45</v>
      </c>
      <c r="E38" s="328" t="e">
        <f>SUM(E33:E37)</f>
        <v>#REF!</v>
      </c>
      <c r="F38" s="328" t="e">
        <f>SUM(F33:F37)</f>
        <v>#REF!</v>
      </c>
      <c r="G38" s="328">
        <f>SUM(G33:G37)</f>
        <v>5</v>
      </c>
      <c r="H38" s="187"/>
      <c r="I38" s="187"/>
      <c r="J38" s="187"/>
      <c r="K38" s="187"/>
      <c r="L38" s="187"/>
      <c r="M38" s="187"/>
      <c r="N38" s="187"/>
    </row>
    <row r="39" spans="1:14" ht="3" customHeight="1">
      <c r="A39" s="18"/>
      <c r="B39" s="13"/>
      <c r="C39" s="13"/>
      <c r="D39" s="19"/>
      <c r="E39" s="203"/>
      <c r="F39" s="203"/>
      <c r="G39" s="203"/>
      <c r="H39" s="6"/>
      <c r="I39" s="6"/>
      <c r="J39" s="6"/>
      <c r="K39" s="6"/>
      <c r="L39" s="6"/>
      <c r="M39" s="6"/>
      <c r="N39" s="6"/>
    </row>
    <row r="40" spans="1:14" s="23" customFormat="1" ht="15" customHeight="1">
      <c r="A40" s="251"/>
      <c r="B40" s="252"/>
      <c r="C40" s="252"/>
      <c r="D40" s="253" t="s">
        <v>118</v>
      </c>
      <c r="E40" s="281" t="e">
        <f>SUM(E9,E13,E23,E27,E31,E38)</f>
        <v>#REF!</v>
      </c>
      <c r="F40" s="281" t="e">
        <f>SUM(F9,F13,F23,F27,F31,F38)</f>
        <v>#REF!</v>
      </c>
      <c r="G40" s="281">
        <f>SUM(G9,G13,G23,G27,G31,G38)</f>
        <v>7500</v>
      </c>
      <c r="H40" s="22"/>
      <c r="I40" s="22"/>
      <c r="J40" s="22"/>
      <c r="K40" s="22"/>
      <c r="L40" s="22"/>
      <c r="M40" s="22"/>
      <c r="N40" s="22"/>
    </row>
    <row r="41" spans="1:14" ht="3.75" customHeight="1">
      <c r="L41" s="24"/>
    </row>
    <row r="42" spans="1:14" s="189" customFormat="1" ht="11.1" customHeight="1">
      <c r="A42" s="282" t="s">
        <v>1</v>
      </c>
      <c r="B42" s="283"/>
      <c r="C42" s="283"/>
      <c r="D42" s="284"/>
      <c r="E42" s="270"/>
      <c r="F42" s="271"/>
      <c r="G42" s="271" t="s">
        <v>108</v>
      </c>
      <c r="H42" s="191"/>
    </row>
    <row r="43" spans="1:14" ht="12.95" customHeight="1">
      <c r="A43" s="257" t="s">
        <v>47</v>
      </c>
      <c r="B43" s="258"/>
      <c r="C43" s="258"/>
      <c r="D43" s="272"/>
      <c r="E43" s="273" t="s">
        <v>110</v>
      </c>
      <c r="F43" s="274" t="s">
        <v>111</v>
      </c>
      <c r="G43" s="274" t="s">
        <v>112</v>
      </c>
    </row>
    <row r="44" spans="1:14" s="158" customFormat="1" ht="11.1" customHeight="1">
      <c r="A44" s="275"/>
      <c r="B44" s="276"/>
      <c r="C44" s="276"/>
      <c r="D44" s="277" t="str">
        <f>'detail bilan HT'!$C$6</f>
        <v>K€ HT</v>
      </c>
      <c r="E44" s="278">
        <f>$E$5</f>
        <v>39446</v>
      </c>
      <c r="F44" s="278" t="s">
        <v>114</v>
      </c>
      <c r="G44" s="278">
        <f>$E$5</f>
        <v>39446</v>
      </c>
      <c r="H44" s="159"/>
    </row>
    <row r="45" spans="1:14" ht="14.1" customHeight="1">
      <c r="A45" s="25" t="str">
        <f>'bilan HT'!A45</f>
        <v>A/CESSIONS</v>
      </c>
      <c r="B45" s="26"/>
      <c r="C45" s="26"/>
      <c r="D45" s="27"/>
      <c r="E45" s="28"/>
      <c r="F45" s="28"/>
      <c r="G45" s="28"/>
    </row>
    <row r="46" spans="1:14" ht="12.95" customHeight="1">
      <c r="A46" s="29"/>
      <c r="B46" s="30" t="str">
        <f>'bilan HT'!B46</f>
        <v>Activités 40 has à 18,50 € HT le m²</v>
      </c>
      <c r="C46" s="31"/>
      <c r="D46" s="32"/>
      <c r="E46" s="10" t="e">
        <f>IF(AND('detail bilan HT'!$V$158=0,#REF!=0),"",SUM('detail bilan HT'!D158:E158))</f>
        <v>#REF!</v>
      </c>
      <c r="F46" s="10" t="e">
        <f>IF(AND('detail bilan HT'!$V$158=0,#REF!=0),"",'detail bilan HT'!V158-E46)</f>
        <v>#REF!</v>
      </c>
      <c r="G46" s="10">
        <f>'bilan HT'!G46</f>
        <v>7400</v>
      </c>
    </row>
    <row r="47" spans="1:14" ht="12.95" customHeight="1">
      <c r="A47" s="17" t="s">
        <v>119</v>
      </c>
      <c r="B47" s="30" t="str">
        <f>'bilan HT'!B47</f>
        <v/>
      </c>
      <c r="C47" s="30"/>
      <c r="D47" s="33"/>
      <c r="E47" s="10" t="e">
        <f>IF(AND('detail bilan HT'!$V$167=0,#REF!=0),"",SUM('detail bilan HT'!D167:E167))</f>
        <v>#REF!</v>
      </c>
      <c r="F47" s="10" t="e">
        <f>IF(AND('detail bilan HT'!$V$167=0,#REF!=0),"",'detail bilan HT'!V167-E47)</f>
        <v>#REF!</v>
      </c>
      <c r="G47" s="10" t="str">
        <f>'bilan HT'!G47</f>
        <v/>
      </c>
    </row>
    <row r="48" spans="1:14" ht="12.95" customHeight="1">
      <c r="A48" s="17"/>
      <c r="B48" s="30" t="str">
        <f>'bilan HT'!B48</f>
        <v/>
      </c>
      <c r="C48" s="30"/>
      <c r="D48" s="33"/>
      <c r="E48" s="10" t="e">
        <f>IF(AND('detail bilan HT'!$V$176=0,#REF!=0),"",SUM('detail bilan HT'!D176:E176))</f>
        <v>#REF!</v>
      </c>
      <c r="F48" s="10" t="e">
        <f>IF(AND('detail bilan HT'!$V$176=0,#REF!=0),"",'detail bilan HT'!V176-E48)</f>
        <v>#REF!</v>
      </c>
      <c r="G48" s="10" t="str">
        <f>'bilan HT'!G48</f>
        <v/>
      </c>
    </row>
    <row r="49" spans="1:18" ht="12.95" customHeight="1">
      <c r="A49" s="17"/>
      <c r="B49" s="30" t="str">
        <f>'bilan HT'!B49</f>
        <v/>
      </c>
      <c r="C49" s="30"/>
      <c r="D49" s="33"/>
      <c r="E49" s="10" t="e">
        <f>IF(AND('detail bilan HT'!$V$185=0,#REF!=0),"",SUM('detail bilan HT'!D185:E185))</f>
        <v>#REF!</v>
      </c>
      <c r="F49" s="10" t="e">
        <f>IF(AND('detail bilan HT'!$V$185=0,#REF!=0),"",'detail bilan HT'!V185-E49)</f>
        <v>#REF!</v>
      </c>
      <c r="G49" s="10" t="str">
        <f>'bilan HT'!G49</f>
        <v/>
      </c>
    </row>
    <row r="50" spans="1:18" ht="12.95" customHeight="1">
      <c r="A50" s="17"/>
      <c r="B50" s="30" t="str">
        <f>'bilan HT'!B50</f>
        <v/>
      </c>
      <c r="C50" s="30"/>
      <c r="D50" s="33"/>
      <c r="E50" s="10" t="e">
        <f>IF(AND('detail bilan HT'!$V$194=0,#REF!=0),"",SUM('detail bilan HT'!D194:E194))</f>
        <v>#REF!</v>
      </c>
      <c r="F50" s="10" t="e">
        <f>IF(AND('detail bilan HT'!$V$194=0,#REF!=0),"",'detail bilan HT'!V194-E50)</f>
        <v>#REF!</v>
      </c>
      <c r="G50" s="10" t="str">
        <f>'bilan HT'!G50</f>
        <v/>
      </c>
    </row>
    <row r="51" spans="1:18" ht="12.95" customHeight="1">
      <c r="A51" s="17"/>
      <c r="B51" s="30" t="str">
        <f>'bilan HT'!B51</f>
        <v/>
      </c>
      <c r="C51" s="30"/>
      <c r="D51" s="33"/>
      <c r="E51" s="10" t="e">
        <f>IF(AND('detail bilan HT'!$V$195=0,#REF!=0),"",SUM('detail bilan HT'!D195:E195))</f>
        <v>#REF!</v>
      </c>
      <c r="F51" s="10" t="e">
        <f>IF(AND('detail bilan HT'!$V$195=0,#REF!=0),"",'detail bilan HT'!V195-E51)</f>
        <v>#REF!</v>
      </c>
      <c r="G51" s="10" t="str">
        <f>'bilan HT'!G51</f>
        <v/>
      </c>
    </row>
    <row r="52" spans="1:18" s="158" customFormat="1" ht="12.95" customHeight="1">
      <c r="A52" s="332"/>
      <c r="B52" s="333"/>
      <c r="C52" s="333"/>
      <c r="D52" s="334" t="s">
        <v>58</v>
      </c>
      <c r="E52" s="335" t="e">
        <f>SUM(E46:E51)</f>
        <v>#REF!</v>
      </c>
      <c r="F52" s="335" t="e">
        <f>SUM(F46:F51)</f>
        <v>#REF!</v>
      </c>
      <c r="G52" s="335">
        <f>SUM(G46:G51)</f>
        <v>7400</v>
      </c>
      <c r="H52" s="159"/>
      <c r="P52" s="159"/>
      <c r="Q52" s="159"/>
    </row>
    <row r="53" spans="1:18" s="158" customFormat="1" ht="12.95" customHeight="1">
      <c r="A53" s="338" t="str">
        <f>'bilan HT'!A53</f>
        <v>B/SUBVENTIONS</v>
      </c>
      <c r="B53" s="333"/>
      <c r="C53" s="333"/>
      <c r="E53" s="142"/>
      <c r="F53" s="142"/>
      <c r="G53" s="142"/>
      <c r="H53" s="159"/>
      <c r="P53" s="159"/>
      <c r="Q53" s="159"/>
    </row>
    <row r="54" spans="1:18" s="158" customFormat="1" ht="12.95" customHeight="1">
      <c r="A54" s="338"/>
      <c r="B54" s="333"/>
      <c r="C54" s="333"/>
      <c r="D54" s="334" t="str">
        <f>'detail bilan HT'!C205</f>
        <v>TOTAL B</v>
      </c>
      <c r="E54" s="335">
        <f>SUM('detail bilan HT'!D205:E205)</f>
        <v>0</v>
      </c>
      <c r="F54" s="335">
        <f>'detail bilan HT'!V205-E54</f>
        <v>100</v>
      </c>
      <c r="G54" s="335">
        <f>'bilan HT'!G54</f>
        <v>100</v>
      </c>
      <c r="H54" s="159"/>
      <c r="P54" s="159"/>
      <c r="Q54" s="159"/>
    </row>
    <row r="55" spans="1:18" ht="12.95" customHeight="1">
      <c r="A55" s="38" t="str">
        <f>'bilan HT'!A55</f>
        <v>C/AUTRES PRODUITS</v>
      </c>
      <c r="B55" s="39"/>
      <c r="C55" s="39"/>
      <c r="D55" s="40"/>
      <c r="E55" s="10"/>
      <c r="F55" s="10"/>
      <c r="G55" s="10"/>
      <c r="P55" s="5"/>
      <c r="Q55" s="5"/>
      <c r="R55" s="5"/>
    </row>
    <row r="56" spans="1:18" ht="12.95" customHeight="1">
      <c r="A56" s="17"/>
      <c r="B56" s="30" t="str">
        <f>'bilan HT'!B56</f>
        <v/>
      </c>
      <c r="C56" s="30"/>
      <c r="D56" s="33"/>
      <c r="E56" s="10" t="str">
        <f>IF(B56="","",SUM('detail bilan HT'!D207:E207))</f>
        <v/>
      </c>
      <c r="F56" s="10" t="str">
        <f>IF(B56="","",'detail bilan HT'!V207-E56)</f>
        <v/>
      </c>
      <c r="G56" s="10" t="str">
        <f>'bilan HT'!G56</f>
        <v/>
      </c>
      <c r="P56" s="5"/>
      <c r="Q56" s="5"/>
      <c r="R56" s="5"/>
    </row>
    <row r="57" spans="1:18" ht="12.95" customHeight="1">
      <c r="A57" s="17"/>
      <c r="B57" s="30" t="str">
        <f>'bilan HT'!B57</f>
        <v/>
      </c>
      <c r="C57" s="30"/>
      <c r="D57" s="33"/>
      <c r="E57" s="10" t="str">
        <f>IF(B57="","",SUM('detail bilan HT'!D208:E208))</f>
        <v/>
      </c>
      <c r="F57" s="10" t="str">
        <f>IF(B57="","",'detail bilan HT'!V208-E57)</f>
        <v/>
      </c>
      <c r="G57" s="10" t="str">
        <f>'bilan HT'!G57</f>
        <v/>
      </c>
      <c r="P57" s="5"/>
      <c r="Q57" s="5"/>
      <c r="R57" s="5"/>
    </row>
    <row r="58" spans="1:18" ht="12.95" customHeight="1">
      <c r="A58" s="17"/>
      <c r="B58" s="30" t="str">
        <f>'bilan HT'!B58</f>
        <v/>
      </c>
      <c r="C58" s="30"/>
      <c r="D58" s="33"/>
      <c r="E58" s="10" t="str">
        <f>IF(B58="","",SUM('detail bilan HT'!D209:E209))</f>
        <v/>
      </c>
      <c r="F58" s="10" t="str">
        <f>IF(B58="","",'detail bilan HT'!V209-E58)</f>
        <v/>
      </c>
      <c r="G58" s="10" t="str">
        <f>'bilan HT'!G58</f>
        <v/>
      </c>
      <c r="P58" s="5"/>
      <c r="Q58" s="5"/>
      <c r="R58" s="5"/>
    </row>
    <row r="59" spans="1:18" s="158" customFormat="1" ht="12.95" customHeight="1">
      <c r="A59" s="332"/>
      <c r="B59" s="333"/>
      <c r="C59" s="333"/>
      <c r="D59" s="334" t="str">
        <f>'detail bilan HT'!C210</f>
        <v>TOTAL C</v>
      </c>
      <c r="E59" s="335">
        <f>SUM(E56:E58)</f>
        <v>0</v>
      </c>
      <c r="F59" s="335">
        <f>SUM(F56:F58)</f>
        <v>0</v>
      </c>
      <c r="G59" s="335">
        <f>SUM(G56:G58)</f>
        <v>0</v>
      </c>
      <c r="H59" s="159"/>
      <c r="P59" s="159"/>
      <c r="Q59" s="159"/>
      <c r="R59" s="159"/>
    </row>
    <row r="60" spans="1:18" ht="12.95" customHeight="1">
      <c r="A60" s="38" t="str">
        <f>'bilan HT'!A60</f>
        <v>D/PARTICIPATION DE LA COLLECTIVITE</v>
      </c>
      <c r="B60" s="35"/>
      <c r="C60" s="35"/>
      <c r="D60" s="36"/>
      <c r="E60" s="142"/>
      <c r="F60" s="142"/>
      <c r="G60" s="142"/>
      <c r="P60" s="5"/>
      <c r="Q60" s="5"/>
      <c r="R60" s="5"/>
    </row>
    <row r="61" spans="1:18" ht="12.95" customHeight="1">
      <c r="A61" s="38"/>
      <c r="B61" s="30" t="str">
        <f>'bilan HT'!B61</f>
        <v/>
      </c>
      <c r="C61" s="30"/>
      <c r="D61" s="33"/>
      <c r="E61" s="10" t="str">
        <f>IF(B61="","",SUM('detail bilan HT'!D212:E212))</f>
        <v/>
      </c>
      <c r="F61" s="10" t="str">
        <f>IF(B61="","",'detail bilan HT'!V212-E61)</f>
        <v/>
      </c>
      <c r="G61" s="10" t="str">
        <f>'bilan HT'!G61</f>
        <v/>
      </c>
      <c r="P61" s="5"/>
      <c r="Q61" s="5"/>
      <c r="R61" s="5"/>
    </row>
    <row r="62" spans="1:18" ht="12.95" customHeight="1">
      <c r="A62" s="38"/>
      <c r="B62" s="30" t="str">
        <f>'bilan HT'!B62</f>
        <v/>
      </c>
      <c r="C62" s="30"/>
      <c r="D62" s="33"/>
      <c r="E62" s="10" t="str">
        <f>IF(B62="","",SUM('detail bilan HT'!D213:E213))</f>
        <v/>
      </c>
      <c r="F62" s="10" t="str">
        <f>IF(B62="","",'detail bilan HT'!V213-E62)</f>
        <v/>
      </c>
      <c r="G62" s="10" t="str">
        <f>'bilan HT'!G62</f>
        <v/>
      </c>
      <c r="P62" s="5"/>
      <c r="Q62" s="5"/>
      <c r="R62" s="5"/>
    </row>
    <row r="63" spans="1:18" ht="12.95" customHeight="1">
      <c r="A63" s="38"/>
      <c r="B63" s="30" t="str">
        <f>'bilan HT'!B63</f>
        <v/>
      </c>
      <c r="C63" s="30"/>
      <c r="D63" s="33"/>
      <c r="E63" s="10" t="str">
        <f>IF(B63="","",SUM('detail bilan HT'!D214:E214))</f>
        <v/>
      </c>
      <c r="F63" s="10" t="str">
        <f>IF(B63="","",'detail bilan HT'!V214-E63)</f>
        <v/>
      </c>
      <c r="G63" s="10" t="str">
        <f>'bilan HT'!G63</f>
        <v/>
      </c>
      <c r="P63" s="5"/>
      <c r="Q63" s="5"/>
      <c r="R63" s="5"/>
    </row>
    <row r="64" spans="1:18" ht="12.95" customHeight="1">
      <c r="A64" s="38"/>
      <c r="B64" s="30" t="str">
        <f>'bilan HT'!B64</f>
        <v/>
      </c>
      <c r="C64" s="30"/>
      <c r="D64" s="33"/>
      <c r="E64" s="10" t="str">
        <f>IF(B64="","",SUM('detail bilan HT'!D215:E215))</f>
        <v/>
      </c>
      <c r="F64" s="10" t="str">
        <f>IF(B64="","",'detail bilan HT'!V215-E64)</f>
        <v/>
      </c>
      <c r="G64" s="10" t="str">
        <f>'bilan HT'!G64</f>
        <v/>
      </c>
      <c r="P64" s="5"/>
      <c r="Q64" s="5"/>
      <c r="R64" s="5"/>
    </row>
    <row r="65" spans="1:19" s="158" customFormat="1" ht="12.95" customHeight="1">
      <c r="A65" s="336"/>
      <c r="B65" s="333"/>
      <c r="C65" s="333"/>
      <c r="D65" s="334" t="str">
        <f>'detail bilan HT'!C216</f>
        <v>TOTAL D</v>
      </c>
      <c r="E65" s="335">
        <f>SUM(E61:E64)</f>
        <v>0</v>
      </c>
      <c r="F65" s="335">
        <f>SUM(F61:F64)</f>
        <v>0</v>
      </c>
      <c r="G65" s="335">
        <f>SUM(G61:G64)</f>
        <v>0</v>
      </c>
      <c r="H65" s="159"/>
      <c r="P65" s="159"/>
      <c r="Q65" s="159"/>
      <c r="R65" s="159"/>
    </row>
    <row r="66" spans="1:19" ht="3" customHeight="1">
      <c r="A66" s="38"/>
      <c r="B66" s="35"/>
      <c r="C66" s="35"/>
      <c r="D66" s="36"/>
      <c r="E66" s="202"/>
      <c r="F66" s="202"/>
      <c r="G66" s="202"/>
      <c r="P66" s="5"/>
      <c r="Q66" s="5"/>
      <c r="R66" s="5"/>
    </row>
    <row r="67" spans="1:19" s="23" customFormat="1" ht="15" customHeight="1">
      <c r="A67" s="242"/>
      <c r="B67" s="243"/>
      <c r="C67" s="243"/>
      <c r="D67" s="244" t="s">
        <v>68</v>
      </c>
      <c r="E67" s="281" t="e">
        <f>SUM(E52,E54,E59,E65)</f>
        <v>#REF!</v>
      </c>
      <c r="F67" s="281" t="e">
        <f>SUM(F52,F54,F59,F65)</f>
        <v>#REF!</v>
      </c>
      <c r="G67" s="281">
        <f>SUM(G52,G54,G59,G65)</f>
        <v>7500</v>
      </c>
      <c r="H67" s="41"/>
      <c r="P67" s="41"/>
      <c r="Q67" s="41"/>
      <c r="R67" s="41"/>
      <c r="S67" s="41"/>
    </row>
    <row r="68" spans="1:19" ht="15" customHeight="1"/>
    <row r="69" spans="1:19" ht="15" customHeight="1"/>
    <row r="70" spans="1:19" ht="15" customHeight="1"/>
    <row r="71" spans="1:19" ht="15" customHeight="1">
      <c r="N71" s="5"/>
      <c r="O71" s="5"/>
      <c r="P71" s="5"/>
      <c r="Q71" s="5"/>
      <c r="S71" s="5"/>
    </row>
    <row r="72" spans="1:19" ht="15" customHeight="1">
      <c r="N72" s="5"/>
      <c r="O72" s="5"/>
      <c r="P72" s="5"/>
      <c r="Q72" s="5"/>
      <c r="S72" s="3"/>
    </row>
    <row r="78" spans="1:19" ht="6" customHeight="1"/>
    <row r="80" spans="1:19" ht="6" customHeight="1"/>
    <row r="86" spans="19:20">
      <c r="S86" s="5"/>
    </row>
    <row r="87" spans="19:20">
      <c r="S87" s="5"/>
    </row>
    <row r="88" spans="19:20">
      <c r="S88" s="5"/>
    </row>
    <row r="89" spans="19:20">
      <c r="T89" s="5"/>
    </row>
    <row r="90" spans="19:20">
      <c r="T90" s="5"/>
    </row>
  </sheetData>
  <sheetProtection password="CB8E" sheet="1" objects="1" scenarios="1"/>
  <mergeCells count="1">
    <mergeCell ref="A2:G2"/>
  </mergeCells>
  <printOptions horizontalCentered="1"/>
  <pageMargins left="0" right="0" top="0" bottom="0" header="0" footer="0"/>
  <pageSetup paperSize="9" scale="98" orientation="portrait" r:id="rId1"/>
  <headerFooter alignWithMargins="0">
    <oddHeader xml:space="preserve">&amp;L
&amp;R&amp;"Bookman Old Style,Normal"
</oddHeader>
    <oddFooter>&amp;R&amp;"Times New Roman,Gras Italique"&amp;9SODEMEL 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73</vt:i4>
      </vt:variant>
    </vt:vector>
  </HeadingPairs>
  <TitlesOfParts>
    <vt:vector size="79" baseType="lpstr">
      <vt:lpstr>detail bilan HT</vt:lpstr>
      <vt:lpstr>bilan HT</vt:lpstr>
      <vt:lpstr>échéancier HT</vt:lpstr>
      <vt:lpstr>trésorerie HT</vt:lpstr>
      <vt:lpstr>données</vt:lpstr>
      <vt:lpstr>bilan HT (2)</vt:lpstr>
      <vt:lpstr>_tva1</vt:lpstr>
      <vt:lpstr>_tva2</vt:lpstr>
      <vt:lpstr>_tva3</vt:lpstr>
      <vt:lpstr>_tva4</vt:lpstr>
      <vt:lpstr>_tva5</vt:lpstr>
      <vt:lpstr>dateCRAC</vt:lpstr>
      <vt:lpstr>datedépart</vt:lpstr>
      <vt:lpstr>dateE1</vt:lpstr>
      <vt:lpstr>dateE2</vt:lpstr>
      <vt:lpstr>dateE3</vt:lpstr>
      <vt:lpstr>dateE4</vt:lpstr>
      <vt:lpstr>dateE5</vt:lpstr>
      <vt:lpstr>dateE6</vt:lpstr>
      <vt:lpstr>dateE7</vt:lpstr>
      <vt:lpstr>dateE8</vt:lpstr>
      <vt:lpstr>datefin</vt:lpstr>
      <vt:lpstr>DifféréE1</vt:lpstr>
      <vt:lpstr>DifféréE2</vt:lpstr>
      <vt:lpstr>DifféréE3</vt:lpstr>
      <vt:lpstr>DifféréE4</vt:lpstr>
      <vt:lpstr>DifféréE5</vt:lpstr>
      <vt:lpstr>DifféréE6</vt:lpstr>
      <vt:lpstr>DifféréE7</vt:lpstr>
      <vt:lpstr>DifféréE8</vt:lpstr>
      <vt:lpstr>DuréeE1</vt:lpstr>
      <vt:lpstr>duréeE2</vt:lpstr>
      <vt:lpstr>DuréeE3</vt:lpstr>
      <vt:lpstr>DuréeE4</vt:lpstr>
      <vt:lpstr>DuréeE5</vt:lpstr>
      <vt:lpstr>DuréeE6</vt:lpstr>
      <vt:lpstr>DuréeE7</vt:lpstr>
      <vt:lpstr>duréeE8</vt:lpstr>
      <vt:lpstr>H</vt:lpstr>
      <vt:lpstr>montantE1</vt:lpstr>
      <vt:lpstr>montantE2</vt:lpstr>
      <vt:lpstr>montantE3</vt:lpstr>
      <vt:lpstr>montantE4</vt:lpstr>
      <vt:lpstr>montantE5</vt:lpstr>
      <vt:lpstr>montantE6</vt:lpstr>
      <vt:lpstr>montantE7</vt:lpstr>
      <vt:lpstr>montantE8</vt:lpstr>
      <vt:lpstr>prixA</vt:lpstr>
      <vt:lpstr>Surfaceop</vt:lpstr>
      <vt:lpstr>T</vt:lpstr>
      <vt:lpstr>taux</vt:lpstr>
      <vt:lpstr>taux_révisé1</vt:lpstr>
      <vt:lpstr>taux_révisé2</vt:lpstr>
      <vt:lpstr>taux_révisé3</vt:lpstr>
      <vt:lpstr>taux_révisé4</vt:lpstr>
      <vt:lpstr>taux_révisé5</vt:lpstr>
      <vt:lpstr>taux_révisé6</vt:lpstr>
      <vt:lpstr>taux_révisé7</vt:lpstr>
      <vt:lpstr>taux_révisé8</vt:lpstr>
      <vt:lpstr>taux_réviséE7</vt:lpstr>
      <vt:lpstr>tauxE1</vt:lpstr>
      <vt:lpstr>tauxE2</vt:lpstr>
      <vt:lpstr>tauxE3</vt:lpstr>
      <vt:lpstr>tauxE4</vt:lpstr>
      <vt:lpstr>tauxE5</vt:lpstr>
      <vt:lpstr>tauxE6</vt:lpstr>
      <vt:lpstr>tauxE7</vt:lpstr>
      <vt:lpstr>tauxE8</vt:lpstr>
      <vt:lpstr>tva</vt:lpstr>
      <vt:lpstr>typetva1</vt:lpstr>
      <vt:lpstr>typetva2</vt:lpstr>
      <vt:lpstr>typetva3</vt:lpstr>
      <vt:lpstr>typetva4</vt:lpstr>
      <vt:lpstr>typetva5</vt:lpstr>
      <vt:lpstr>valeur</vt:lpstr>
      <vt:lpstr>valeurfin</vt:lpstr>
      <vt:lpstr>'bilan HT'!Zone_d_impression</vt:lpstr>
      <vt:lpstr>'bilan HT (2)'!Zone_d_impression</vt:lpstr>
      <vt:lpstr>'échéancier HT'!Zone_d_impression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SODEMEL</dc:creator>
  <cp:lastModifiedBy>Sylvie SANNE</cp:lastModifiedBy>
  <cp:lastPrinted>2013-01-07T13:44:36Z</cp:lastPrinted>
  <dcterms:created xsi:type="dcterms:W3CDTF">1997-06-03T16:26:11Z</dcterms:created>
  <dcterms:modified xsi:type="dcterms:W3CDTF">2013-01-07T13:44:55Z</dcterms:modified>
</cp:coreProperties>
</file>